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P_User\Nextcloud\Projets\Programme Numérique\4 - Projets\2025 - PIA\3 - Rapport intermédiaire\2 - Materials\"/>
    </mc:Choice>
  </mc:AlternateContent>
  <xr:revisionPtr revIDLastSave="0" documentId="13_ncr:1_{0D59C28B-4F8A-4219-AAF9-530228496409}" xr6:coauthVersionLast="47" xr6:coauthVersionMax="47" xr10:uidLastSave="{00000000-0000-0000-0000-000000000000}"/>
  <bookViews>
    <workbookView xWindow="-110" yWindow="-110" windowWidth="19420" windowHeight="10300" tabRatio="679" firstSheet="15" activeTab="15" xr2:uid="{00000000-000D-0000-FFFF-FFFF00000000}"/>
  </bookViews>
  <sheets>
    <sheet name="TSP" sheetId="1" r:id="rId1"/>
    <sheet name="Borderstep" sheetId="2" r:id="rId2"/>
    <sheet name="Greenpeace Ch" sheetId="3" r:id="rId3"/>
    <sheet name="Ni Ch" sheetId="5" r:id="rId4"/>
    <sheet name="DCByte" sheetId="4" r:id="rId5"/>
    <sheet name="LBNL US" sheetId="7" r:id="rId6"/>
    <sheet name="IEA" sheetId="6" r:id="rId7"/>
    <sheet name="Deloitte" sheetId="8" r:id="rId8"/>
    <sheet name="McKinsey Eu" sheetId="9" r:id="rId9"/>
    <sheet name="McKinsey" sheetId="10" r:id="rId10"/>
    <sheet name="Goldman Sachs" sheetId="11" r:id="rId11"/>
    <sheet name="BCG SEA" sheetId="12" r:id="rId12"/>
    <sheet name="SemiAnalysis" sheetId="13" r:id="rId13"/>
    <sheet name="Jefferies" sheetId="14" r:id="rId14"/>
    <sheet name="Schroders" sheetId="15" r:id="rId15"/>
    <sheet name="References" sheetId="16" r:id="rId16"/>
    <sheet name="Graphique" sheetId="17" r:id="rId17"/>
    <sheet name="Graphiques état des lieux" sheetId="18" r:id="rId18"/>
    <sheet name="Calculette GES à partir TWh" sheetId="19" r:id="rId19"/>
    <sheet name="Traj GES à partir GW" sheetId="2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0" l="1"/>
  <c r="F13" i="20"/>
  <c r="G13" i="20"/>
  <c r="H13" i="20"/>
  <c r="I13" i="20"/>
  <c r="J13" i="20"/>
  <c r="E13" i="20"/>
  <c r="D13" i="20"/>
  <c r="K5" i="20"/>
  <c r="E18" i="20"/>
  <c r="I5" i="20"/>
  <c r="D5" i="20"/>
  <c r="C5" i="20"/>
  <c r="D26" i="19"/>
  <c r="D16" i="19"/>
  <c r="D17" i="19" s="1"/>
  <c r="F5" i="20" l="1"/>
  <c r="E5" i="20"/>
  <c r="G5" i="20"/>
  <c r="H5" i="20"/>
  <c r="J5" i="20"/>
  <c r="D10" i="20"/>
  <c r="D5" i="12"/>
  <c r="C5" i="12"/>
  <c r="J6" i="4"/>
  <c r="I6" i="4"/>
  <c r="C6" i="14" l="1"/>
  <c r="J18" i="20" l="1"/>
  <c r="I18" i="20"/>
  <c r="H18" i="20"/>
  <c r="G18" i="20"/>
  <c r="F18" i="20"/>
  <c r="D18" i="20"/>
  <c r="J16" i="20"/>
  <c r="I16" i="20"/>
  <c r="H16" i="20"/>
  <c r="G16" i="20"/>
  <c r="F16" i="20"/>
  <c r="E16" i="20"/>
  <c r="D16" i="20"/>
  <c r="J10" i="20"/>
  <c r="I10" i="20"/>
  <c r="H10" i="20"/>
  <c r="G10" i="20"/>
  <c r="F10" i="20"/>
  <c r="E10" i="20"/>
  <c r="J8" i="20"/>
  <c r="I8" i="20"/>
  <c r="H8" i="20"/>
  <c r="G8" i="20"/>
  <c r="F8" i="20"/>
  <c r="E8" i="20"/>
  <c r="D8" i="20"/>
  <c r="C16" i="19"/>
  <c r="C17" i="19" s="1"/>
  <c r="C18" i="19" s="1"/>
  <c r="C6" i="19"/>
  <c r="C27" i="6"/>
  <c r="D27" i="6" s="1"/>
  <c r="C21" i="6"/>
  <c r="C23" i="6" s="1"/>
  <c r="C17" i="6"/>
  <c r="D17" i="6" s="1"/>
  <c r="I6" i="5"/>
  <c r="G9" i="5" s="1"/>
  <c r="G12" i="5" s="1"/>
  <c r="H6" i="5"/>
  <c r="G6" i="5"/>
  <c r="C9" i="5" s="1"/>
  <c r="C12" i="5" s="1"/>
  <c r="F6" i="5"/>
  <c r="H6" i="4"/>
  <c r="G6" i="4"/>
  <c r="F6" i="4"/>
  <c r="E6" i="4"/>
  <c r="D6" i="4"/>
  <c r="E3" i="2"/>
  <c r="D3" i="2"/>
  <c r="C26" i="19" l="1"/>
  <c r="C25" i="19"/>
  <c r="C26" i="6"/>
  <c r="D25" i="19"/>
  <c r="D28" i="6"/>
  <c r="D26" i="6"/>
  <c r="C28" i="6"/>
  <c r="D9" i="5"/>
  <c r="D12" i="5" s="1"/>
  <c r="E9" i="5"/>
  <c r="E12" i="5" s="1"/>
  <c r="F9" i="5"/>
  <c r="F12" i="5" s="1"/>
  <c r="D6" i="20"/>
  <c r="D9" i="20" s="1"/>
  <c r="D11" i="20" s="1"/>
  <c r="C6" i="20"/>
  <c r="C9" i="20" s="1"/>
  <c r="C11" i="20" s="1"/>
  <c r="C14" i="20" s="1"/>
  <c r="C17" i="20" s="1"/>
  <c r="E25" i="19" l="1"/>
  <c r="E26" i="19"/>
  <c r="E6" i="20"/>
  <c r="E9" i="20" s="1"/>
  <c r="E11" i="20" s="1"/>
  <c r="C19" i="20"/>
  <c r="C21" i="20" s="1"/>
  <c r="D18" i="19"/>
  <c r="F6" i="20" l="1"/>
  <c r="F9" i="20" s="1"/>
  <c r="F11" i="20" s="1"/>
  <c r="G6" i="20" l="1"/>
  <c r="G9" i="20" s="1"/>
  <c r="G11" i="20" s="1"/>
  <c r="H6" i="20"/>
  <c r="H9" i="20" s="1"/>
  <c r="H11" i="20" s="1"/>
  <c r="I6" i="20" l="1"/>
  <c r="I9" i="20" s="1"/>
  <c r="I11" i="20" s="1"/>
  <c r="J6" i="20" l="1"/>
  <c r="J9" i="20" s="1"/>
  <c r="J11" i="20" s="1"/>
  <c r="K6" i="20" l="1"/>
  <c r="K9" i="20" s="1"/>
  <c r="K11" i="20" s="1"/>
  <c r="D14" i="20" l="1"/>
  <c r="D17" i="20" s="1"/>
  <c r="F14" i="20" l="1"/>
  <c r="F17" i="20" s="1"/>
  <c r="F19" i="20" s="1"/>
  <c r="H14" i="20"/>
  <c r="K14" i="20"/>
  <c r="G14" i="20"/>
  <c r="G17" i="20" s="1"/>
  <c r="G19" i="20" s="1"/>
  <c r="I14" i="20"/>
  <c r="I17" i="20" s="1"/>
  <c r="I19" i="20" s="1"/>
  <c r="J14" i="20"/>
  <c r="J17" i="20" s="1"/>
  <c r="J19" i="20" s="1"/>
  <c r="E14" i="20"/>
  <c r="D19" i="20"/>
  <c r="E17" i="20" l="1"/>
  <c r="E19" i="20" s="1"/>
  <c r="E21" i="20" s="1"/>
  <c r="H17" i="20"/>
  <c r="H19" i="20" s="1"/>
  <c r="H21" i="20" s="1"/>
  <c r="K17" i="20"/>
  <c r="K19" i="20" s="1"/>
  <c r="D21" i="20"/>
  <c r="F21" i="20"/>
  <c r="I21" i="20"/>
  <c r="J21" i="20"/>
  <c r="G21" i="20"/>
  <c r="K21" i="20" l="1"/>
</calcChain>
</file>

<file path=xl/sharedStrings.xml><?xml version="1.0" encoding="utf-8"?>
<sst xmlns="http://schemas.openxmlformats.org/spreadsheetml/2006/main" count="290" uniqueCount="225">
  <si>
    <t xml:space="preserve">Data center : run phase : final energy consumption (TWh) </t>
  </si>
  <si>
    <t xml:space="preserve">Commentaires : </t>
  </si>
  <si>
    <t>périmètre : monde</t>
  </si>
  <si>
    <t>TSP - Lean ICT, 2018 - Phase I</t>
  </si>
  <si>
    <t>périmètre : tout type de centres de données</t>
  </si>
  <si>
    <t xml:space="preserve">consommation électrique des DC (pas seulement de l'IT), calculée en TWh </t>
  </si>
  <si>
    <t xml:space="preserve">Run phase (TWh) </t>
  </si>
  <si>
    <t>valeurs tabulées</t>
  </si>
  <si>
    <t>TSP - Lean ICT, 2021 - Conservative</t>
  </si>
  <si>
    <t>ce ne sont pas des valeurs historiques, mais des reconstitutions et des scénarios passées</t>
  </si>
  <si>
    <t>TSP - Lean ICT, 2021 - Growth</t>
  </si>
  <si>
    <t xml:space="preserve">projections à partir Borderstep et évolution trafic/charges CISCO (TBC charges) </t>
  </si>
  <si>
    <t xml:space="preserve">TSP - Lean ICT, 2021 - Growth Less EE </t>
  </si>
  <si>
    <t>TSP - Lean ICT, 2021 - New Sobriety</t>
  </si>
  <si>
    <t>Borderstep (Hintemann, Hinterholzer, 2020)</t>
  </si>
  <si>
    <t>périmètre : tout type de centres de données a priori (il y a des DC "other" dans le graphique Allemagne, et pas seulement hyperscale et colocation)</t>
  </si>
  <si>
    <t xml:space="preserve">lecture graphique fig 4. et fig 5. </t>
  </si>
  <si>
    <t>ce ne sont pas des valeurs historiques, mais des reconsttitutions et des projections passées</t>
  </si>
  <si>
    <t>modèle à partir de nombre de serveurs</t>
  </si>
  <si>
    <t>périmètre : Chine</t>
  </si>
  <si>
    <t>Greenpeace, 2019</t>
  </si>
  <si>
    <t>périmètre : ?</t>
  </si>
  <si>
    <t xml:space="preserve">Data center : operational IT power installed (GW) </t>
  </si>
  <si>
    <t>CAGR</t>
  </si>
  <si>
    <t xml:space="preserve">périmètre : monde : à partir de 3 grandes régions </t>
  </si>
  <si>
    <t xml:space="preserve">p4 : "Data for Mainland China is referential, and based on key operators in the major metros only." </t>
  </si>
  <si>
    <t>p29 : data for HK et Taiwan, p4 : "coverage of Russia has halted since the Russia-Ukraine war. New developments since, if any, will not have been captured in the data"</t>
  </si>
  <si>
    <t>périmètre : tout type de centres de données ou seulement les plus importants ?</t>
  </si>
  <si>
    <t xml:space="preserve">p4 : bottom-up multi sources (notamment images sat, communiqués financiers, doc de planif, entretiens, inspections physiques </t>
  </si>
  <si>
    <t>p4 : nearly 7,000 individual data centres across globe</t>
  </si>
  <si>
    <t>p5 : puissance informatique opérationnelle déterminée, qu'elle soit louée ou non.</t>
  </si>
  <si>
    <t>IEA, 2024, p32 : more than 8000 DC. https://www.datacentermap.com/datacenters/ : 8726</t>
  </si>
  <si>
    <t xml:space="preserve">puissance IT opérationnelle installée (pas forcément utilisée) (en GW d'IT)  </t>
  </si>
  <si>
    <t>valeur pour 2018, et CAGR 2018-2023 sur GW de puissance IT installée</t>
  </si>
  <si>
    <t xml:space="preserve">ce sont des valeurs historiques </t>
  </si>
  <si>
    <t>GHG emissions wo embodied (MtCO2e)</t>
  </si>
  <si>
    <t>Ni, 2024</t>
  </si>
  <si>
    <t>émissions de CO2 de l'électricité, facteur d'émission de l'électricité associée, retour à la consommation électrique</t>
  </si>
  <si>
    <t>Associated hyp of electricity emission factor (kgCO2e/kWh)</t>
  </si>
  <si>
    <t>a</t>
  </si>
  <si>
    <t>b</t>
  </si>
  <si>
    <t>From Ni, 2024</t>
  </si>
  <si>
    <t>périmètre : monde : en 2024, le chiffre est plus petit que la somme de 3 grandes régions)</t>
  </si>
  <si>
    <t xml:space="preserve">p32 : "there are currently more than 8 000 data centres globally" mais seulement 3 zones prises en compte ? </t>
  </si>
  <si>
    <t>IEA, 2024 - Low case</t>
  </si>
  <si>
    <t>périmètre : internal, cloud &amp; colocation non hyperscale, hyperscale</t>
  </si>
  <si>
    <t>p31 : "includes traditional data centres, dedicated AI data centres, and cryptocurrency consumption; excludes demand from data transmission networks"</t>
  </si>
  <si>
    <t>IEA, 2024 - Base case</t>
  </si>
  <si>
    <t>IEA, 2024 - High case</t>
  </si>
  <si>
    <t>valeurs dans le texte</t>
  </si>
  <si>
    <t>à partir de stocks de serveurs</t>
  </si>
  <si>
    <t>écart entre scénarios : incertitudes sur le déploiement, et sur les gains d'efficacité</t>
  </si>
  <si>
    <t>IEA, 2024 - US</t>
  </si>
  <si>
    <t>IEA, 2024 - EU</t>
  </si>
  <si>
    <t>IEA, 2024 - China (China's State Grid Energy Research Institute)</t>
  </si>
  <si>
    <t>IEA WEO, 2024 - Electricity demand growth 2023-2030 (TWh)</t>
  </si>
  <si>
    <t xml:space="preserve">IEA WEO, 2024 - Share in the base case for data centre </t>
  </si>
  <si>
    <t>IEA WEO, 2024 - Electricity demand growth for data centre 2023-2030 (TWh)</t>
  </si>
  <si>
    <t>IEA WEO, 2024 - Based on electricy added for 2023-2030 + slower data center growth</t>
  </si>
  <si>
    <t>IEA WEO, 2024 - Based on electricy added for 2023-2030</t>
  </si>
  <si>
    <t>IEA WEO, 2024 - Based on electricy added for 2023-2030 + faster data center growth</t>
  </si>
  <si>
    <t>périmètre : US</t>
  </si>
  <si>
    <t>US - LBNL, 2024 - low</t>
  </si>
  <si>
    <t>US - LBNL, 2024 - high</t>
  </si>
  <si>
    <t>Figure ES-1, texte en-dessous</t>
  </si>
  <si>
    <t>bottom-up sur les nombres d'équipements (serveurs, stockage, réseau), (conso IT, idle, durée d'utilisation puis PUE)</t>
  </si>
  <si>
    <t>scénarios : selon équipement (basés sur nb/demande/capacité GPU), pratiques opérationnelles, refroidissement (type et efficacité)</t>
  </si>
  <si>
    <t>(ref 40) a priori les données IDC sont monde</t>
  </si>
  <si>
    <t>Deloitte, 2024 - Baseline</t>
  </si>
  <si>
    <t>p14, fig 3 :  AI hyperscale, hyperscale, enterprise, midsize, rack/computer room, single</t>
  </si>
  <si>
    <t>Deloitte, 2024 - High adoption</t>
  </si>
  <si>
    <t>figure 3 p14</t>
  </si>
  <si>
    <t>à partir de stocks de serveurs -&gt; si quelqu'un veut nous faire un don de 7500 € : https://www.idc.com/getdoc.jsp?containerId=US52131624</t>
  </si>
  <si>
    <t>Scenarios : high adoption (growth trend de 2020-2023 conservée, adoption forte de GenAI) et baseline (taux de croissance plus faible sur serveurs IA que sur 2020-2023, introduction progressive de l'IA dans les systèmes et les industries pour les applis les plus simples et rentables), courbes d'adoption à partir de 2035</t>
  </si>
  <si>
    <t xml:space="preserve">projections à partir de : </t>
  </si>
  <si>
    <t xml:space="preserve">McKinsey, 2024 - Low-range </t>
  </si>
  <si>
    <t>périmètre types de cdd : ?</t>
  </si>
  <si>
    <t xml:space="preserve">McKinsey, 2024 - Midrange </t>
  </si>
  <si>
    <t>McKinsey, 2024 - Upper-range</t>
  </si>
  <si>
    <t>exhibit 1</t>
  </si>
  <si>
    <t>écart entre scénarios : rythme d'augmentation de la demande, ampleurs des innovations qui peuvent améliorer l'efficacité, connaissances limitées concernant les plans d'expansion des propriétaires et opérateurs de cdd</t>
  </si>
  <si>
    <t>périmètre géographique (quel "rest of the world" compté" ?)</t>
  </si>
  <si>
    <t xml:space="preserve">GW ou TWh ? grandeur IT ou totale ? </t>
  </si>
  <si>
    <t xml:space="preserve">n° de la figure ou de la page dans le rapport : </t>
  </si>
  <si>
    <t xml:space="preserve">Y a-t-il un modèle ? Quelles sont les données d'entrées de cette estimation ? </t>
  </si>
  <si>
    <t>SemiAnalysis, 2024 - Limited AI Impact</t>
  </si>
  <si>
    <t xml:space="preserve">   </t>
  </si>
  <si>
    <t xml:space="preserve">(TWh) </t>
  </si>
  <si>
    <t>Europe, US, APAC et rest of the world</t>
  </si>
  <si>
    <t>Jefferies, 2024</t>
  </si>
  <si>
    <t>"global data center", ils parlent des colocations et des hypoerscalers
pour les calculs ils ont parfois séparé les hyperscale self builds et les Leased</t>
  </si>
  <si>
    <t>une méthode top down en estimant l'évolution des puissances d'usage des DC en y appliquant leur estimation de la croissance, et une méthode bottom up en utilisant les données du marché, (tailel de marché, les CAGR projeté sur 1, 3 et 5 ans etc.)</t>
  </si>
  <si>
    <t xml:space="preserve">Hypothèses : 
- " Nous estimons que depuis 2016, la consommation électrique mondiale et la capacité des centres de données ont augmenté à un taux de croissance annuel moyen d'environ 16 % (Figure 24). Aux États-Unis, nous estimons que la consommation d'électricité des centres de données a augmenté de 15 % entre 2016 et 23. En Europe, nous estimons que la consommation d'électricité des centres de données s'élèvera à 87 TWh en 2023, avec un TCAC historique de 12 %. Nous prenons nos estimations historiques de la pièce 16 et de la pièce 17 en MW que nous convertissons en TWh. Nos estimations sont similaires à celles présentées dans le rapport « Electricity 2024 - Analysis and forecast to 2026 » de l'AIE."
- j'ia l'impression quils ont pris PUE=1 et 90% de taux d'utilisation </t>
  </si>
  <si>
    <t>US</t>
  </si>
  <si>
    <t>Europe</t>
  </si>
  <si>
    <t>critical IT power capacity : to run servers, storage devices and network equipment (and apart from non-IT uses like lightning and cooling)</t>
  </si>
  <si>
    <t xml:space="preserve">ils citent les travaux de l'entreprise SemiAnalysis </t>
  </si>
  <si>
    <t>Références</t>
  </si>
  <si>
    <t>BCG, 2024</t>
  </si>
  <si>
    <r>
      <t xml:space="preserve">BCG. (2024). </t>
    </r>
    <r>
      <rPr>
        <i/>
        <sz val="11"/>
        <color theme="1"/>
        <rFont val="Calibri"/>
        <family val="2"/>
        <scheme val="minor"/>
      </rPr>
      <t>Accelerating compute needs underpin Southeast Asia’s rapid data center growth</t>
    </r>
    <r>
      <rPr>
        <sz val="11"/>
        <color theme="1"/>
        <rFont val="Calibri"/>
        <family val="2"/>
        <scheme val="minor"/>
      </rPr>
      <t>. https://www.bcg.com/publications/2024/southeast-asia-accelerating-compute-needs-underpin-southeast-asias-rapid-data-center-growth</t>
    </r>
  </si>
  <si>
    <t>Borderstep (Hintemann, Hinyerholzer), 2020</t>
  </si>
  <si>
    <r>
      <t xml:space="preserve">Hintemann R., &amp; Hinterholzer S. (2020). </t>
    </r>
    <r>
      <rPr>
        <i/>
        <sz val="11"/>
        <color rgb="FF002060"/>
        <rFont val="Calibri"/>
        <family val="2"/>
        <scheme val="minor"/>
      </rPr>
      <t>Energy consumption of data centers worldwide</t>
    </r>
    <r>
      <rPr>
        <sz val="11"/>
        <color rgb="FF002060"/>
        <rFont val="Calibri"/>
        <family val="2"/>
        <scheme val="minor"/>
      </rPr>
      <t>. https://www.researchgate.net/publication/341427004_Energy_consumption_of_data_centers_worldwide_How_will_the_Internet_become_green</t>
    </r>
  </si>
  <si>
    <t>DCByte, 2024</t>
  </si>
  <si>
    <r>
      <t xml:space="preserve">DCByte. (2024). </t>
    </r>
    <r>
      <rPr>
        <i/>
        <sz val="11"/>
        <color rgb="FF00005A"/>
        <rFont val="Arial"/>
        <family val="2"/>
      </rPr>
      <t>Global Data Centre Index</t>
    </r>
    <r>
      <rPr>
        <sz val="11"/>
        <color rgb="FF00005A"/>
        <rFont val="Arial"/>
        <family val="2"/>
      </rPr>
      <t xml:space="preserve">. https://www.dcbyte.com/global-data-centre-index/2024-global-data-centre-index/ </t>
    </r>
  </si>
  <si>
    <t>Deloitte, 2024</t>
  </si>
  <si>
    <r>
      <t xml:space="preserve">Deloitte. (2024). </t>
    </r>
    <r>
      <rPr>
        <i/>
        <sz val="11"/>
        <color rgb="FF00005A"/>
        <rFont val="Arial"/>
        <family val="2"/>
      </rPr>
      <t>Powering artificial intelligence A study of AI’s environmental footprint</t>
    </r>
    <r>
      <rPr>
        <sz val="11"/>
        <color rgb="FF00005A"/>
        <rFont val="Arial"/>
        <family val="2"/>
      </rPr>
      <t>—Today and tomorrow. https://www.deloitte.com/global/en/issues/climate/powering-ai.html</t>
    </r>
  </si>
  <si>
    <t>European commission, Kamiya, Bertoldi, 2024</t>
  </si>
  <si>
    <r>
      <t xml:space="preserve">European Commission, Kamiya G., &amp; Bertoldi P. (2024). </t>
    </r>
    <r>
      <rPr>
        <i/>
        <sz val="11"/>
        <color theme="1"/>
        <rFont val="Calibri"/>
        <family val="2"/>
        <scheme val="minor"/>
      </rPr>
      <t>Energy Consumption in Data Centres and Broadband Communication Networks in the EU</t>
    </r>
    <r>
      <rPr>
        <sz val="11"/>
        <color theme="1"/>
        <rFont val="Calibri"/>
        <family val="2"/>
        <scheme val="minor"/>
      </rPr>
      <t>. https://publications.jrc.ec.europa.eu/repository/handle/JRC135926</t>
    </r>
  </si>
  <si>
    <t>Goldman Sachs, 2024</t>
  </si>
  <si>
    <r>
      <t xml:space="preserve">Goldman Sachs. (2024, mai 14). </t>
    </r>
    <r>
      <rPr>
        <i/>
        <sz val="11"/>
        <color theme="1"/>
        <rFont val="Calibri"/>
        <family val="2"/>
        <scheme val="minor"/>
      </rPr>
      <t>AI is poised to drive 160% increase in data center power demand</t>
    </r>
    <r>
      <rPr>
        <sz val="11"/>
        <color theme="1"/>
        <rFont val="Calibri"/>
        <family val="2"/>
        <scheme val="minor"/>
      </rPr>
      <t>. https://www.goldmansachs.com/insights/articles/AI-poised-to-drive-160-increase-in-power-demand</t>
    </r>
  </si>
  <si>
    <r>
      <t xml:space="preserve">Greenpeace. (2019). </t>
    </r>
    <r>
      <rPr>
        <i/>
        <sz val="11"/>
        <color theme="1"/>
        <rFont val="Calibri"/>
        <family val="2"/>
        <scheme val="minor"/>
      </rPr>
      <t>Powering the Cloud : How China’s Internet Industry Can Shift to Renewable Energy</t>
    </r>
    <r>
      <rPr>
        <sz val="11"/>
        <color theme="1"/>
        <rFont val="Calibri"/>
        <family val="2"/>
        <scheme val="minor"/>
      </rPr>
      <t>. https://www.greenpeace.org/static/planet4-eastasia-stateless/2019/11/7bfe9069-7bfe9069-powering-the-cloud-_-english-briefing.pdf</t>
    </r>
  </si>
  <si>
    <t>IEA, 2024</t>
  </si>
  <si>
    <r>
      <t xml:space="preserve">International Energy Agency. (2024). </t>
    </r>
    <r>
      <rPr>
        <i/>
        <sz val="11"/>
        <color rgb="FF002060"/>
        <rFont val="Calibri"/>
        <family val="2"/>
        <scheme val="minor"/>
      </rPr>
      <t>Electricity 2024—Analysis and forecast to 2026</t>
    </r>
    <r>
      <rPr>
        <sz val="11"/>
        <color rgb="FF002060"/>
        <rFont val="Calibri"/>
        <family val="2"/>
        <scheme val="minor"/>
      </rPr>
      <t>. https://www.iea.org/reports/electricity-2024</t>
    </r>
  </si>
  <si>
    <t>IEA WEO, 2024</t>
  </si>
  <si>
    <t>IEA. (2024). World Energy Outlook 2024. https://www.iea.org/reports/world-energy-outlook-2024</t>
  </si>
  <si>
    <t>IEA mid-year, 2024</t>
  </si>
  <si>
    <r>
      <t xml:space="preserve">IEA. (2024). </t>
    </r>
    <r>
      <rPr>
        <i/>
        <sz val="11"/>
        <color theme="1"/>
        <rFont val="Calibri"/>
        <family val="2"/>
        <scheme val="minor"/>
      </rPr>
      <t>Electricity Mid-Year Update</t>
    </r>
    <r>
      <rPr>
        <sz val="11"/>
        <color theme="1"/>
        <rFont val="Calibri"/>
        <family val="2"/>
        <scheme val="minor"/>
      </rPr>
      <t>. https://iea.blob.core.windows.net/assets/234d0d22-6f5b-4dc4-9f08-2485f0c5ec24/ElectricityMid-YearUpdate_July2024.pdf</t>
    </r>
  </si>
  <si>
    <r>
      <t xml:space="preserve">Jefferies. (2024). </t>
    </r>
    <r>
      <rPr>
        <i/>
        <sz val="11"/>
        <color theme="1"/>
        <rFont val="Calibri"/>
        <family val="2"/>
        <scheme val="minor"/>
      </rPr>
      <t>Data Centers &amp; AI: Powering the Future</t>
    </r>
    <r>
      <rPr>
        <sz val="11"/>
        <color theme="1"/>
        <rFont val="Calibri"/>
        <family val="2"/>
        <scheme val="minor"/>
      </rPr>
      <t>. https://www.jefferies.com/insights/the-big-picture/how-data-centers-are-shaping-the-future-of-energy-consumption/</t>
    </r>
  </si>
  <si>
    <t>LBNL, 2024</t>
  </si>
  <si>
    <r>
      <t xml:space="preserve">Lawrence Berkeley National Laboratory, Berkeley, California, Shehabi A., Smith, S.J., Hubbard, A., Newkirk, A., Lei, N., Siddik, M.A.B., Holecek, B., &amp; Koomey J., Masanet, E., Sartor, D. (2024). </t>
    </r>
    <r>
      <rPr>
        <i/>
        <sz val="11"/>
        <color theme="1"/>
        <rFont val="Calibri"/>
        <family val="2"/>
        <scheme val="minor"/>
      </rPr>
      <t>2024 United States Data Center Energy Usage Report</t>
    </r>
    <r>
      <rPr>
        <sz val="11"/>
        <color theme="1"/>
        <rFont val="Calibri"/>
        <family val="2"/>
        <scheme val="minor"/>
      </rPr>
      <t xml:space="preserve">. </t>
    </r>
    <r>
      <rPr>
        <sz val="11"/>
        <color rgb="FF00005A"/>
        <rFont val="Arial"/>
        <family val="2"/>
      </rPr>
      <t>https://eta-publications.lbl.gov/sites/default/files/2024-12/lbnl-2024-united-states-data-center-energy-usage-report.pdf</t>
    </r>
  </si>
  <si>
    <t>McKinsey Eu, 2024</t>
  </si>
  <si>
    <r>
      <t xml:space="preserve">McKinsey &amp; Company. (2024a). </t>
    </r>
    <r>
      <rPr>
        <i/>
        <sz val="11"/>
        <color theme="1"/>
        <rFont val="Calibri"/>
        <family val="2"/>
        <scheme val="minor"/>
      </rPr>
      <t>The role of power in unlocking the European AI revolution</t>
    </r>
    <r>
      <rPr>
        <sz val="11"/>
        <color theme="1"/>
        <rFont val="Calibri"/>
        <family val="2"/>
        <scheme val="minor"/>
      </rPr>
      <t>. https://www.mckinsey.com/industries/electric-power-and-natural-gas/our-insights/the-role-of-power-in-unlocking-the-european-ai-revolution</t>
    </r>
  </si>
  <si>
    <t>McKinsey, 2024</t>
  </si>
  <si>
    <r>
      <t xml:space="preserve">McKinsey. (2024). </t>
    </r>
    <r>
      <rPr>
        <i/>
        <sz val="11"/>
        <color theme="1"/>
        <rFont val="Calibri"/>
        <family val="2"/>
        <scheme val="minor"/>
      </rPr>
      <t>AI power : Expanding data center capacity to meet growing demand</t>
    </r>
    <r>
      <rPr>
        <sz val="11"/>
        <color theme="1"/>
        <rFont val="Calibri"/>
        <family val="2"/>
        <scheme val="minor"/>
      </rPr>
      <t>. https://www.mckinsey.com/industries/technology-media-and-telecommunications/our-insights/ai-power-expanding-data-center-capacity-to-meet-growing-demand</t>
    </r>
  </si>
  <si>
    <r>
      <t xml:space="preserve">Ni W., Hu X., Du H., Kang Y., Ju Y., &amp; Wang Q. (2024). </t>
    </r>
    <r>
      <rPr>
        <i/>
        <sz val="11"/>
        <color theme="1"/>
        <rFont val="Calibri"/>
        <family val="2"/>
        <scheme val="minor"/>
      </rPr>
      <t>CO2 emission-mitigation pathways for China’s data centers</t>
    </r>
    <r>
      <rPr>
        <sz val="11"/>
        <color theme="1"/>
        <rFont val="Calibri"/>
        <family val="2"/>
        <scheme val="minor"/>
      </rPr>
      <t>. https://www.sciencedirect.com/science/article/abs/pii/S0921344923005177?via%3Dihub</t>
    </r>
  </si>
  <si>
    <t>SemiAnalysis, 2024</t>
  </si>
  <si>
    <r>
      <t xml:space="preserve">SemiAnalysis, Patel D., Nishball D., &amp; Eliahou Ontiveros J. (2024, mars 13). </t>
    </r>
    <r>
      <rPr>
        <i/>
        <sz val="11"/>
        <color theme="1"/>
        <rFont val="Calibri"/>
        <family val="2"/>
        <scheme val="minor"/>
      </rPr>
      <t>AI Datacenter Energy Dilemma – Race for AI Datacenter Space Gigawatt Dreams and Matroyshka Brains Limited By Datacenters Not Chips</t>
    </r>
    <r>
      <rPr>
        <sz val="11"/>
        <color theme="1"/>
        <rFont val="Calibri"/>
        <family val="2"/>
        <scheme val="minor"/>
      </rPr>
      <t>. https://semianalysis.com/2024/03/13/ai-datacenter-energy-dilemma-race/#datacenter-math</t>
    </r>
  </si>
  <si>
    <t>Schneider Electric, 2023</t>
  </si>
  <si>
    <r>
      <t xml:space="preserve">Schneider Electric. (2023). </t>
    </r>
    <r>
      <rPr>
        <i/>
        <sz val="12"/>
        <color rgb="FF002060"/>
        <rFont val="Arial"/>
        <family val="2"/>
      </rPr>
      <t>Quantifying Data Center Scope 3 GHG Emissions to Prioritize Reduction Efforts—White Paper 99</t>
    </r>
    <r>
      <rPr>
        <sz val="12"/>
        <color rgb="FF002060"/>
        <rFont val="Arial"/>
        <family val="2"/>
      </rPr>
      <t>. https://www.se.com/ww/en/download/document/SPD_WP99_EN/</t>
    </r>
  </si>
  <si>
    <t>Schroders, 2024</t>
  </si>
  <si>
    <r>
      <t xml:space="preserve">Schroders. (2024). </t>
    </r>
    <r>
      <rPr>
        <i/>
        <sz val="11"/>
        <color rgb="FF00005A"/>
        <rFont val="Arial"/>
        <family val="2"/>
      </rPr>
      <t>Power-hungry AI applications are demanding a significant expansion in global energy capacity.</t>
    </r>
    <r>
      <rPr>
        <sz val="11"/>
        <color rgb="FF00005A"/>
        <rFont val="Arial"/>
        <family val="2"/>
      </rPr>
      <t xml:space="preserve"> https://www.schroders.com/en/global/individual/insights/power-hungry-ai-applications-are-demanding-a-significant-expansion-in-global-energy-capacity/</t>
    </r>
  </si>
  <si>
    <t>The Shift Project, 2018</t>
  </si>
  <si>
    <r>
      <t xml:space="preserve">The Shift Project. (2018). </t>
    </r>
    <r>
      <rPr>
        <i/>
        <sz val="11"/>
        <color theme="1"/>
        <rFont val="Calibri"/>
        <family val="2"/>
        <scheme val="minor"/>
      </rPr>
      <t>Lean ICT : Pour une sobriété numérique</t>
    </r>
    <r>
      <rPr>
        <sz val="11"/>
        <color theme="1"/>
        <rFont val="Calibri"/>
        <family val="2"/>
        <scheme val="minor"/>
      </rPr>
      <t xml:space="preserve">. The Shift Project. https://theshiftproject.org/article/pour-une-sobriete-numerique-rapport-shift/ </t>
    </r>
  </si>
  <si>
    <t>The Shift Project, 2021</t>
  </si>
  <si>
    <r>
      <t xml:space="preserve">The Shift Project. (2021). </t>
    </r>
    <r>
      <rPr>
        <i/>
        <sz val="11"/>
        <color theme="1"/>
        <rFont val="Calibri"/>
        <family val="2"/>
        <scheme val="minor"/>
      </rPr>
      <t>Impact environnemental du numérique : Tendances à 5 ans et gouvernance de la 5G</t>
    </r>
    <r>
      <rPr>
        <sz val="11"/>
        <color theme="1"/>
        <rFont val="Calibri"/>
        <family val="2"/>
        <scheme val="minor"/>
      </rPr>
      <t>. The Shift Project. https://theshiftproject.org/article/impact-environnemental-du-numerique-5g-nouvelle-etude-du-shift/</t>
    </r>
  </si>
  <si>
    <t>Graphiques de : IEA mid-year 2024, European Commission Kamiya Bertoldi 2024, LBNL 2024</t>
  </si>
  <si>
    <t xml:space="preserve">Hypothèses pour la calculette carbone : </t>
  </si>
  <si>
    <t xml:space="preserve">CO₂ intensity of electricity generation (gCO₂/kWh) </t>
  </si>
  <si>
    <t>IEA WEO, 2024 - Stated Policies, p301</t>
  </si>
  <si>
    <t>Scénario dégradé "Gaz pour les nouveaux centres de données"</t>
  </si>
  <si>
    <t xml:space="preserve">Ratio empreinte embarqué </t>
  </si>
  <si>
    <t>A partir de chiffres issus de Schneider Electric, 2023</t>
  </si>
  <si>
    <t xml:space="preserve">Construction d'un " scope 3 empreinte embarqué" à partir d'un scope 3 auquel est retranché, commuting employés, voyages d'affaires, fuel and energy related activities. </t>
  </si>
  <si>
    <t xml:space="preserve">Les valeurs sont prises sur l'indicateur changement climatique. A +15 ans de durée de vie. Le batiment est bien inclus. </t>
  </si>
  <si>
    <t>On compare alors scope 2 (33577 tCO2e) et "scope 3 empreinte embarquée" (=9555+2042 tCO2e), le rapport entre ces scopes et de : 0,35</t>
  </si>
  <si>
    <t xml:space="preserve">Calculette carbone : </t>
  </si>
  <si>
    <t xml:space="preserve">Quelques résultats : </t>
  </si>
  <si>
    <t xml:space="preserve">Code couleur </t>
  </si>
  <si>
    <t>Inputs</t>
  </si>
  <si>
    <t>Variable intermédiaire</t>
  </si>
  <si>
    <t>Output</t>
  </si>
  <si>
    <t>Hypothèse</t>
  </si>
  <si>
    <t>Capacité IT installée (GW)</t>
  </si>
  <si>
    <t>Consommation IT maximale (TWh)</t>
  </si>
  <si>
    <t xml:space="preserve">Profil de charge </t>
  </si>
  <si>
    <t>Consommation IT (TWh)</t>
  </si>
  <si>
    <t>PUE</t>
  </si>
  <si>
    <t xml:space="preserve">Consommation d'énergie finale : utilisation (TWh) </t>
  </si>
  <si>
    <r>
      <t>Emissions de GES : utilisation</t>
    </r>
    <r>
      <rPr>
        <b/>
        <sz val="8"/>
        <color indexed="65"/>
        <rFont val="Arial"/>
        <family val="2"/>
      </rPr>
      <t xml:space="preserve"> (MtCO</t>
    </r>
    <r>
      <rPr>
        <b/>
        <vertAlign val="subscript"/>
        <sz val="8"/>
        <color indexed="65"/>
        <rFont val="Arial"/>
        <family val="2"/>
      </rPr>
      <t>2</t>
    </r>
    <r>
      <rPr>
        <b/>
        <sz val="8"/>
        <color indexed="65"/>
        <rFont val="Arial"/>
        <family val="2"/>
      </rPr>
      <t>e)</t>
    </r>
  </si>
  <si>
    <t>Ratio "scope 3 empreinte embarquée" / scope 2</t>
  </si>
  <si>
    <r>
      <t>Emissions de GES : empreinte embarquée (MtCO</t>
    </r>
    <r>
      <rPr>
        <b/>
        <vertAlign val="subscript"/>
        <sz val="8"/>
        <color indexed="65"/>
        <rFont val="Arial"/>
        <family val="2"/>
      </rPr>
      <t>2</t>
    </r>
    <r>
      <rPr>
        <b/>
        <sz val="8"/>
        <color indexed="65"/>
        <rFont val="Arial"/>
        <family val="2"/>
      </rPr>
      <t>e)</t>
    </r>
  </si>
  <si>
    <r>
      <t>Emissions de GES : total (MtCO</t>
    </r>
    <r>
      <rPr>
        <b/>
        <vertAlign val="subscript"/>
        <sz val="8"/>
        <color indexed="65"/>
        <rFont val="Arial"/>
        <family val="2"/>
      </rPr>
      <t>2</t>
    </r>
    <r>
      <rPr>
        <b/>
        <sz val="8"/>
        <color indexed="65"/>
        <rFont val="Arial"/>
        <family val="2"/>
      </rPr>
      <t>e)</t>
    </r>
  </si>
  <si>
    <t>DC demand (GW)</t>
  </si>
  <si>
    <t>périmètre : south east asia</t>
  </si>
  <si>
    <t>projections à partir de 2023</t>
  </si>
  <si>
    <t>Data center electricity demand (TWh)</t>
  </si>
  <si>
    <t>Global Datacenter Critical IT power demand (GW)</t>
  </si>
  <si>
    <t>Global DC power usage per year (TWh)</t>
  </si>
  <si>
    <t>SemiAnalysis, 2024 - Base Case</t>
  </si>
  <si>
    <t>SemiAnalysis, 2024 - Accelerated Case</t>
  </si>
  <si>
    <t>Hausse</t>
  </si>
  <si>
    <t xml:space="preserve">Data center : demand for data center capacity (IT load) (GW) </t>
  </si>
  <si>
    <t>périmètre : Europe (EU27 + UK)</t>
  </si>
  <si>
    <t>projections à partir de : Global Energy Perspective 2024; McKinsey analysis</t>
  </si>
  <si>
    <t xml:space="preserve">Fig 1 </t>
  </si>
  <si>
    <t>périmètre type de centres de données : non indiqué mais vraisemblablement tous ne sont pas inclus car : en 2018 pour UE28, 77 TWh et en 2022 pour UE27, 45-65 TWh d'elec (European Commission, 2020 et 2024)</t>
  </si>
  <si>
    <t>GW en IT load</t>
  </si>
  <si>
    <t>projections à partir de : DCByte, McKinsey demand model</t>
  </si>
  <si>
    <t>Europe (UE27+UK) - McKinsey, 2024</t>
  </si>
  <si>
    <t xml:space="preserve">demande de capacité pour les centres de données : probablement totale puisque dans le texte, il y a souvent "capacité totale des centres de données" </t>
  </si>
  <si>
    <t xml:space="preserve">périmètre types de cdd : pas clair mais graphique avec aussi du internal et réflexion sur </t>
  </si>
  <si>
    <t>McKinsey data center demand model ; à partir d'analyses de fournisseurs d'IA, d'expéditions de puces</t>
  </si>
  <si>
    <t xml:space="preserve">Data center : demand for data center total capacity (GW) </t>
  </si>
  <si>
    <t>Source: Masanet et al. (2020), Cisco, IEA, Goldman Sachs Research</t>
  </si>
  <si>
    <t xml:space="preserve">milieu page de blog </t>
  </si>
  <si>
    <t xml:space="preserve">TWh de conso totale </t>
  </si>
  <si>
    <t>périmètre géographique : monde</t>
  </si>
  <si>
    <t>périmètre types de cdd : cherche à s'aligner sur Masanet, IEA</t>
  </si>
  <si>
    <t xml:space="preserve">Exhibit 2 </t>
  </si>
  <si>
    <t>demande en GW : "DC demand" donc on fait l'hypothèse que ce n'est pas seulement l'IT</t>
  </si>
  <si>
    <t xml:space="preserve">périmètre : tout type de centres de données ? </t>
  </si>
  <si>
    <t xml:space="preserve">Critical IT power (GW) </t>
  </si>
  <si>
    <t>périmètre types de cdd : "data centers globally" et un zoom sur les hyperscalers en particulier</t>
  </si>
  <si>
    <t>Fig n°1, p3</t>
  </si>
  <si>
    <t xml:space="preserve">pas de scénarios </t>
  </si>
  <si>
    <t xml:space="preserve">DC growth projections by region (GW) </t>
  </si>
  <si>
    <t>Global DC power (GW)</t>
  </si>
  <si>
    <t>exhibit 5 et p14, exhibit 16</t>
  </si>
  <si>
    <t>"global data center"</t>
  </si>
  <si>
    <t>BCG, 2024 - South East Asia - valeur haute</t>
  </si>
  <si>
    <t>BCG, 2024 - South East Asia - valeur basse</t>
  </si>
  <si>
    <t>BCG, 2024 - South East Asia</t>
  </si>
  <si>
    <t>Jefferies, 2024 - Amérique du Nord</t>
  </si>
  <si>
    <t>Jefferies, 2024 - Asie Pacifique</t>
  </si>
  <si>
    <t>Jefferies, 2024 - Europe</t>
  </si>
  <si>
    <t>Jefferies, 2024 - Rest of the world</t>
  </si>
  <si>
    <t>Schroders, 2024 - IT</t>
  </si>
  <si>
    <t>SemiAnalysis, 2024 - IT</t>
  </si>
  <si>
    <t>DCByte, 2024 - IT</t>
  </si>
  <si>
    <t>McKinsey Eu, 2024 - Europe (UE27+UK) - IT</t>
  </si>
  <si>
    <t>DCByte, 2024 - Americas - IT</t>
  </si>
  <si>
    <t>DCByte, 2024 - APAC - IT</t>
  </si>
  <si>
    <t xml:space="preserve">DCByte, 2024 - EMEA - IT </t>
  </si>
  <si>
    <t>ne prend pas en compte le phénomène "IA générative"</t>
  </si>
  <si>
    <t>Part de l'IA : En 2024, ~0%. En 2026, l'iEA compte ~85TWh</t>
  </si>
  <si>
    <t>Part de l'IA : entre les 2 scénarios, il y a une dose d'adoption de l'IA. Donc au moins 265 TWh en 2030, et 1027 TWh en 2035.</t>
  </si>
  <si>
    <r>
      <t>Data center : run phase: GHG emissions (MtCO</t>
    </r>
    <r>
      <rPr>
        <b/>
        <vertAlign val="subscript"/>
        <sz val="8"/>
        <color rgb="FFFFFFFF"/>
        <rFont val="Arial"/>
        <family val="2"/>
      </rPr>
      <t>2</t>
    </r>
    <r>
      <rPr>
        <b/>
        <sz val="8"/>
        <color rgb="FFFFFFFF"/>
        <rFont val="Arial"/>
        <family val="2"/>
      </rPr>
      <t>e)</t>
    </r>
  </si>
  <si>
    <r>
      <t>Data center : embodied : GHG emissions (MtCO</t>
    </r>
    <r>
      <rPr>
        <b/>
        <vertAlign val="subscript"/>
        <sz val="8"/>
        <color rgb="FFFFFFFF"/>
        <rFont val="Arial"/>
        <family val="2"/>
      </rPr>
      <t>2</t>
    </r>
    <r>
      <rPr>
        <b/>
        <sz val="8"/>
        <color rgb="FFFFFFFF"/>
        <rFont val="Arial"/>
        <family val="2"/>
      </rPr>
      <t>e)</t>
    </r>
  </si>
  <si>
    <r>
      <t>GHG emissions total (MtCO</t>
    </r>
    <r>
      <rPr>
        <b/>
        <vertAlign val="sub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e)</t>
    </r>
  </si>
  <si>
    <r>
      <t>A partir de 1220 TWh et 312 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e/kWh</t>
    </r>
  </si>
  <si>
    <r>
      <t>A partir de 1390 TWh et 460 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e/kWh</t>
    </r>
  </si>
  <si>
    <t>valeurs à travailler</t>
  </si>
  <si>
    <t>valeurs à travailler / scénariser</t>
  </si>
  <si>
    <t>Intensité carbone de l'électricité (gCO₂/kWh)</t>
  </si>
  <si>
    <t>Prise en compte de DC suppl. absents des données initiales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</si>
</sst>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  <numFmt numFmtId="167" formatCode="_-* #,##0.000\ _€_-;\-* #,##0.000\ _€_-;_-* &quot;-&quot;???\ _€_-;_-@_-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5A"/>
      <name val="Arial"/>
      <family val="2"/>
    </font>
    <font>
      <i/>
      <sz val="8"/>
      <color rgb="FF00005A"/>
      <name val="Arial"/>
      <family val="2"/>
    </font>
    <font>
      <b/>
      <sz val="8"/>
      <color indexed="65"/>
      <name val="Arial"/>
      <family val="2"/>
    </font>
    <font>
      <sz val="8"/>
      <color rgb="FF00005A"/>
      <name val="Arial"/>
      <family val="2"/>
    </font>
    <font>
      <i/>
      <sz val="8"/>
      <color theme="1"/>
      <name val="Arial"/>
      <family val="2"/>
    </font>
    <font>
      <i/>
      <sz val="8"/>
      <color theme="9"/>
      <name val="Arial"/>
      <family val="2"/>
    </font>
    <font>
      <sz val="9"/>
      <color theme="1"/>
      <name val="Calibri"/>
      <family val="2"/>
      <scheme val="minor"/>
    </font>
    <font>
      <i/>
      <sz val="8"/>
      <color rgb="FF002060"/>
      <name val="Arial"/>
      <family val="2"/>
    </font>
    <font>
      <sz val="11"/>
      <color theme="9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Symbol"/>
      <charset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11"/>
      <color indexed="65"/>
      <name val="Arial"/>
      <family val="2"/>
    </font>
    <font>
      <b/>
      <sz val="11"/>
      <color theme="1"/>
      <name val="Arial"/>
      <family val="2"/>
    </font>
    <font>
      <sz val="11"/>
      <color rgb="FF00005A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indexed="2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00005A"/>
      <name val="Arial"/>
      <family val="2"/>
    </font>
    <font>
      <i/>
      <sz val="12"/>
      <color rgb="FF002060"/>
      <name val="Arial"/>
      <family val="2"/>
    </font>
    <font>
      <sz val="12"/>
      <color rgb="FF00206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vertAlign val="subscript"/>
      <sz val="8"/>
      <color indexed="65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8"/>
      <color rgb="FFFFFFFF"/>
      <name val="Arial"/>
      <family val="2"/>
    </font>
    <font>
      <b/>
      <vertAlign val="subscript"/>
      <sz val="8"/>
      <color rgb="FFFFFFFF"/>
      <name val="Arial"/>
      <family val="2"/>
    </font>
    <font>
      <b/>
      <vertAlign val="subscript"/>
      <sz val="8"/>
      <color theme="1"/>
      <name val="Arial"/>
      <family val="2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00005A"/>
        <bgColor rgb="FF00005A"/>
      </patternFill>
    </fill>
    <fill>
      <patternFill patternType="solid">
        <fgColor rgb="FF0028DC"/>
        <bgColor rgb="FF0028DC"/>
      </patternFill>
    </fill>
    <fill>
      <patternFill patternType="solid">
        <fgColor rgb="FFFF8200"/>
        <bgColor rgb="FFFF8200"/>
      </patternFill>
    </fill>
    <fill>
      <patternFill patternType="solid">
        <fgColor rgb="FFFFDC23"/>
        <bgColor rgb="FFFFDC23"/>
      </patternFill>
    </fill>
    <fill>
      <patternFill patternType="solid">
        <fgColor theme="4"/>
        <bgColor rgb="FFFF82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00005A"/>
      </right>
      <top style="thin">
        <color auto="1"/>
      </top>
      <bottom style="thin">
        <color auto="1"/>
      </bottom>
      <diagonal/>
    </border>
    <border>
      <left style="dotted">
        <color rgb="FF00005A"/>
      </left>
      <right style="dotted">
        <color rgb="FF00005A"/>
      </right>
      <top style="thin">
        <color auto="1"/>
      </top>
      <bottom style="thin">
        <color auto="1"/>
      </bottom>
      <diagonal/>
    </border>
    <border>
      <left style="dotted">
        <color rgb="FF00005A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rgb="FF00005A"/>
      </right>
      <top/>
      <bottom style="thin">
        <color auto="1"/>
      </bottom>
      <diagonal/>
    </border>
    <border>
      <left style="dotted">
        <color rgb="FF00005A"/>
      </left>
      <right style="dotted">
        <color rgb="FF00005A"/>
      </right>
      <top/>
      <bottom style="thin">
        <color auto="1"/>
      </bottom>
      <diagonal/>
    </border>
    <border>
      <left style="dotted">
        <color rgb="FF00005A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rgb="FF00005A"/>
      </bottom>
      <diagonal/>
    </border>
    <border>
      <left/>
      <right style="dotted">
        <color rgb="FF00005A"/>
      </right>
      <top/>
      <bottom style="dotted">
        <color rgb="FF00005A"/>
      </bottom>
      <diagonal/>
    </border>
    <border>
      <left/>
      <right style="thin">
        <color auto="1"/>
      </right>
      <top/>
      <bottom style="dotted">
        <color rgb="FF00005A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rgb="FF00005A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rgb="FF00005A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rgb="FF00005A"/>
      </bottom>
      <diagonal/>
    </border>
    <border>
      <left style="thin">
        <color auto="1"/>
      </left>
      <right style="dotted">
        <color rgb="FF00005A"/>
      </right>
      <top style="thin">
        <color auto="1"/>
      </top>
      <bottom style="dotted">
        <color rgb="FF00005A"/>
      </bottom>
      <diagonal/>
    </border>
    <border>
      <left/>
      <right style="thin">
        <color auto="1"/>
      </right>
      <top style="thin">
        <color auto="1"/>
      </top>
      <bottom style="dotted">
        <color rgb="FF00005A"/>
      </bottom>
      <diagonal/>
    </border>
    <border>
      <left style="thin">
        <color auto="1"/>
      </left>
      <right style="dotted">
        <color rgb="FF00005A"/>
      </right>
      <top/>
      <bottom style="dotted">
        <color rgb="FF00005A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dotted">
        <color rgb="FF00005A"/>
      </right>
      <top style="thin">
        <color auto="1"/>
      </top>
      <bottom/>
      <diagonal/>
    </border>
    <border>
      <left style="dotted">
        <color rgb="FF00005A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rgb="FF00005A"/>
      </left>
      <right style="dotted">
        <color rgb="FF00005A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8" fillId="0" borderId="0" applyFont="0" applyFill="0" applyBorder="0" applyProtection="0"/>
    <xf numFmtId="43" fontId="28" fillId="0" borderId="0" applyFont="0" applyFill="0" applyBorder="0" applyProtection="0"/>
    <xf numFmtId="0" fontId="28" fillId="0" borderId="0"/>
  </cellStyleXfs>
  <cellXfs count="186">
    <xf numFmtId="0" fontId="0" fillId="0" borderId="0" xfId="0"/>
    <xf numFmtId="0" fontId="6" fillId="2" borderId="1" xfId="0" applyFont="1" applyFill="1" applyBorder="1" applyAlignment="1">
      <alignment horizontal="left" vertical="center" wrapText="1" indent="1"/>
    </xf>
    <xf numFmtId="164" fontId="6" fillId="2" borderId="2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 indent="1"/>
    </xf>
    <xf numFmtId="164" fontId="9" fillId="0" borderId="6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164" fontId="9" fillId="0" borderId="8" xfId="1" applyNumberFormat="1" applyFont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8" fillId="3" borderId="9" xfId="0" applyFont="1" applyFill="1" applyBorder="1" applyAlignment="1">
      <alignment horizontal="left" vertical="center" wrapText="1" indent="1"/>
    </xf>
    <xf numFmtId="164" fontId="9" fillId="0" borderId="10" xfId="1" applyNumberFormat="1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 indent="1"/>
    </xf>
    <xf numFmtId="0" fontId="6" fillId="5" borderId="9" xfId="0" applyFont="1" applyFill="1" applyBorder="1" applyAlignment="1">
      <alignment horizontal="left" vertical="center" wrapText="1" indent="1"/>
    </xf>
    <xf numFmtId="164" fontId="9" fillId="0" borderId="11" xfId="1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 indent="1"/>
    </xf>
    <xf numFmtId="164" fontId="9" fillId="0" borderId="12" xfId="1" applyNumberFormat="1" applyFont="1" applyBorder="1" applyAlignment="1">
      <alignment horizontal="center" vertical="center" wrapText="1"/>
    </xf>
    <xf numFmtId="164" fontId="10" fillId="0" borderId="0" xfId="1" applyNumberFormat="1" applyFont="1" applyAlignment="1">
      <alignment horizontal="left" vertical="center"/>
    </xf>
    <xf numFmtId="0" fontId="8" fillId="3" borderId="13" xfId="0" applyFont="1" applyFill="1" applyBorder="1" applyAlignment="1">
      <alignment horizontal="left" vertical="center" wrapText="1" indent="1"/>
    </xf>
    <xf numFmtId="0" fontId="0" fillId="0" borderId="14" xfId="0" applyBorder="1"/>
    <xf numFmtId="164" fontId="6" fillId="2" borderId="15" xfId="1" applyNumberFormat="1" applyFont="1" applyFill="1" applyBorder="1" applyAlignment="1">
      <alignment horizontal="center" vertical="center" wrapText="1"/>
    </xf>
    <xf numFmtId="164" fontId="9" fillId="0" borderId="16" xfId="1" applyNumberFormat="1" applyFont="1" applyBorder="1" applyAlignment="1">
      <alignment horizontal="center" vertical="center" wrapText="1"/>
    </xf>
    <xf numFmtId="164" fontId="11" fillId="0" borderId="0" xfId="1" applyNumberFormat="1" applyFont="1" applyAlignment="1">
      <alignment horizontal="left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164" fontId="9" fillId="0" borderId="15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43" fontId="12" fillId="0" borderId="0" xfId="1" applyFont="1"/>
    <xf numFmtId="43" fontId="0" fillId="0" borderId="0" xfId="1" applyFont="1"/>
    <xf numFmtId="0" fontId="8" fillId="3" borderId="19" xfId="0" applyFont="1" applyFill="1" applyBorder="1" applyAlignment="1">
      <alignment horizontal="left" vertical="center" wrapText="1" indent="1"/>
    </xf>
    <xf numFmtId="164" fontId="9" fillId="0" borderId="20" xfId="1" applyNumberFormat="1" applyFont="1" applyBorder="1" applyAlignment="1">
      <alignment horizontal="center" vertical="center" wrapText="1"/>
    </xf>
    <xf numFmtId="164" fontId="9" fillId="0" borderId="21" xfId="1" applyNumberFormat="1" applyFont="1" applyBorder="1" applyAlignment="1">
      <alignment horizontal="center" vertical="center" wrapText="1"/>
    </xf>
    <xf numFmtId="164" fontId="0" fillId="0" borderId="0" xfId="0" applyNumberFormat="1"/>
    <xf numFmtId="164" fontId="9" fillId="0" borderId="22" xfId="1" applyNumberFormat="1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 indent="1"/>
    </xf>
    <xf numFmtId="165" fontId="9" fillId="0" borderId="11" xfId="1" applyNumberFormat="1" applyFont="1" applyBorder="1" applyAlignment="1">
      <alignment horizontal="center" vertical="center" wrapText="1"/>
    </xf>
    <xf numFmtId="164" fontId="13" fillId="0" borderId="0" xfId="1" applyNumberFormat="1" applyFont="1" applyAlignment="1">
      <alignment horizontal="left" vertical="center"/>
    </xf>
    <xf numFmtId="0" fontId="14" fillId="0" borderId="0" xfId="0" applyFont="1"/>
    <xf numFmtId="0" fontId="8" fillId="4" borderId="5" xfId="0" applyFont="1" applyFill="1" applyBorder="1" applyAlignment="1">
      <alignment horizontal="left" vertical="center" wrapText="1" indent="1"/>
    </xf>
    <xf numFmtId="164" fontId="13" fillId="0" borderId="0" xfId="1" applyNumberFormat="1" applyFont="1" applyAlignment="1">
      <alignment horizontal="left" vertical="center" wrapText="1"/>
    </xf>
    <xf numFmtId="0" fontId="10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left" vertical="center" indent="14"/>
    </xf>
    <xf numFmtId="0" fontId="16" fillId="0" borderId="0" xfId="0" applyFont="1" applyAlignment="1">
      <alignment horizontal="left" vertical="center" indent="15"/>
    </xf>
    <xf numFmtId="164" fontId="11" fillId="0" borderId="0" xfId="1" applyNumberFormat="1" applyFont="1" applyAlignment="1">
      <alignment horizontal="left" vertical="center" wrapText="1"/>
    </xf>
    <xf numFmtId="0" fontId="0" fillId="0" borderId="0" xfId="0" quotePrefix="1"/>
    <xf numFmtId="0" fontId="17" fillId="0" borderId="0" xfId="0" applyFont="1"/>
    <xf numFmtId="0" fontId="18" fillId="0" borderId="0" xfId="0" applyFont="1" applyAlignment="1">
      <alignment horizontal="center"/>
    </xf>
    <xf numFmtId="0" fontId="28" fillId="0" borderId="0" xfId="3"/>
    <xf numFmtId="0" fontId="6" fillId="2" borderId="1" xfId="3" applyFont="1" applyFill="1" applyBorder="1" applyAlignment="1">
      <alignment horizontal="left" vertical="center" wrapText="1" indent="1"/>
    </xf>
    <xf numFmtId="164" fontId="6" fillId="2" borderId="15" xfId="2" applyNumberFormat="1" applyFont="1" applyFill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left" vertical="center" wrapText="1" indent="1"/>
    </xf>
    <xf numFmtId="164" fontId="9" fillId="0" borderId="16" xfId="2" applyNumberFormat="1" applyFont="1" applyBorder="1" applyAlignment="1">
      <alignment horizontal="center" vertical="center" wrapText="1"/>
    </xf>
    <xf numFmtId="164" fontId="9" fillId="0" borderId="8" xfId="2" applyNumberFormat="1" applyFont="1" applyBorder="1" applyAlignment="1">
      <alignment horizontal="center" vertical="center" wrapText="1"/>
    </xf>
    <xf numFmtId="0" fontId="14" fillId="0" borderId="0" xfId="3" applyFont="1"/>
    <xf numFmtId="0" fontId="8" fillId="3" borderId="1" xfId="3" applyFont="1" applyFill="1" applyBorder="1" applyAlignment="1">
      <alignment horizontal="left" vertical="center" wrapText="1" indent="1"/>
    </xf>
    <xf numFmtId="164" fontId="9" fillId="0" borderId="15" xfId="2" applyNumberFormat="1" applyFont="1" applyBorder="1" applyAlignment="1">
      <alignment horizontal="center" vertical="center" wrapText="1"/>
    </xf>
    <xf numFmtId="164" fontId="9" fillId="0" borderId="4" xfId="2" applyNumberFormat="1" applyFont="1" applyBorder="1" applyAlignment="1">
      <alignment horizontal="center" vertical="center" wrapText="1"/>
    </xf>
    <xf numFmtId="0" fontId="28" fillId="0" borderId="0" xfId="3" quotePrefix="1" applyAlignment="1">
      <alignment wrapText="1"/>
    </xf>
    <xf numFmtId="164" fontId="9" fillId="0" borderId="24" xfId="2" applyNumberFormat="1" applyFont="1" applyBorder="1" applyAlignment="1">
      <alignment horizontal="center" vertical="center" wrapText="1"/>
    </xf>
    <xf numFmtId="164" fontId="9" fillId="0" borderId="25" xfId="2" applyNumberFormat="1" applyFont="1" applyBorder="1" applyAlignment="1">
      <alignment horizontal="center" vertical="center" wrapText="1"/>
    </xf>
    <xf numFmtId="0" fontId="8" fillId="3" borderId="18" xfId="3" applyFont="1" applyFill="1" applyBorder="1" applyAlignment="1">
      <alignment horizontal="left" vertical="center" wrapText="1" indent="1"/>
    </xf>
    <xf numFmtId="164" fontId="9" fillId="0" borderId="23" xfId="2" applyNumberFormat="1" applyFont="1" applyBorder="1" applyAlignment="1">
      <alignment horizontal="center" vertical="center" wrapText="1"/>
    </xf>
    <xf numFmtId="1" fontId="19" fillId="0" borderId="23" xfId="3" applyNumberFormat="1" applyFont="1" applyBorder="1"/>
    <xf numFmtId="164" fontId="11" fillId="0" borderId="0" xfId="2" applyNumberFormat="1" applyFont="1" applyAlignment="1">
      <alignment horizontal="left" vertical="center"/>
    </xf>
    <xf numFmtId="0" fontId="28" fillId="0" borderId="0" xfId="3" quotePrefix="1"/>
    <xf numFmtId="0" fontId="0" fillId="0" borderId="0" xfId="0" applyAlignment="1">
      <alignment wrapText="1"/>
    </xf>
    <xf numFmtId="0" fontId="21" fillId="0" borderId="19" xfId="0" applyFont="1" applyBorder="1" applyAlignment="1">
      <alignment horizontal="left" vertical="center" wrapText="1" indent="1"/>
    </xf>
    <xf numFmtId="0" fontId="22" fillId="0" borderId="21" xfId="1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 indent="1"/>
    </xf>
    <xf numFmtId="0" fontId="22" fillId="0" borderId="11" xfId="1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5" xfId="0" applyFont="1" applyBorder="1" applyAlignment="1">
      <alignment horizontal="left" vertical="center" wrapText="1" indent="1"/>
    </xf>
    <xf numFmtId="0" fontId="22" fillId="0" borderId="12" xfId="1" applyNumberFormat="1" applyFont="1" applyBorder="1" applyAlignment="1">
      <alignment horizontal="left" vertical="center" wrapText="1"/>
    </xf>
    <xf numFmtId="0" fontId="23" fillId="0" borderId="0" xfId="0" applyFont="1"/>
    <xf numFmtId="0" fontId="8" fillId="3" borderId="1" xfId="0" applyFont="1" applyFill="1" applyBorder="1" applyAlignment="1">
      <alignment horizontal="left" vertical="center" wrapText="1" indent="1"/>
    </xf>
    <xf numFmtId="0" fontId="24" fillId="0" borderId="0" xfId="0" applyFont="1"/>
    <xf numFmtId="43" fontId="9" fillId="0" borderId="16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1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64" fontId="6" fillId="2" borderId="24" xfId="1" applyNumberFormat="1" applyFont="1" applyFill="1" applyBorder="1" applyAlignment="1">
      <alignment horizontal="center" vertical="center" wrapText="1"/>
    </xf>
    <xf numFmtId="164" fontId="6" fillId="2" borderId="29" xfId="1" applyNumberFormat="1" applyFont="1" applyFill="1" applyBorder="1" applyAlignment="1">
      <alignment horizontal="center" vertical="center" wrapText="1"/>
    </xf>
    <xf numFmtId="164" fontId="6" fillId="2" borderId="25" xfId="1" applyNumberFormat="1" applyFont="1" applyFill="1" applyBorder="1" applyAlignment="1">
      <alignment horizontal="center" vertical="center" wrapText="1"/>
    </xf>
    <xf numFmtId="164" fontId="9" fillId="0" borderId="31" xfId="1" applyNumberFormat="1" applyFont="1" applyBorder="1" applyAlignment="1">
      <alignment horizontal="center" vertical="center" wrapText="1"/>
    </xf>
    <xf numFmtId="164" fontId="9" fillId="0" borderId="32" xfId="1" applyNumberFormat="1" applyFont="1" applyBorder="1" applyAlignment="1">
      <alignment horizontal="center" vertical="center" wrapText="1"/>
    </xf>
    <xf numFmtId="164" fontId="9" fillId="0" borderId="33" xfId="1" applyNumberFormat="1" applyFont="1" applyBorder="1" applyAlignment="1">
      <alignment horizontal="center" vertical="center" wrapText="1"/>
    </xf>
    <xf numFmtId="164" fontId="9" fillId="0" borderId="36" xfId="1" applyNumberFormat="1" applyFont="1" applyBorder="1" applyAlignment="1">
      <alignment horizontal="center" vertical="center" wrapText="1"/>
    </xf>
    <xf numFmtId="164" fontId="9" fillId="0" borderId="37" xfId="1" applyNumberFormat="1" applyFont="1" applyBorder="1" applyAlignment="1">
      <alignment horizontal="center" vertical="center" wrapText="1"/>
    </xf>
    <xf numFmtId="164" fontId="9" fillId="0" borderId="39" xfId="1" applyNumberFormat="1" applyFont="1" applyBorder="1" applyAlignment="1">
      <alignment horizontal="center" vertical="center" wrapText="1"/>
    </xf>
    <xf numFmtId="164" fontId="9" fillId="0" borderId="40" xfId="1" applyNumberFormat="1" applyFont="1" applyBorder="1" applyAlignment="1">
      <alignment horizontal="center" vertical="center" wrapText="1"/>
    </xf>
    <xf numFmtId="164" fontId="9" fillId="0" borderId="41" xfId="1" applyNumberFormat="1" applyFont="1" applyBorder="1" applyAlignment="1">
      <alignment horizontal="center" vertical="center" wrapText="1"/>
    </xf>
    <xf numFmtId="43" fontId="9" fillId="0" borderId="39" xfId="1" applyFont="1" applyBorder="1" applyAlignment="1">
      <alignment horizontal="center" vertical="center" wrapText="1"/>
    </xf>
    <xf numFmtId="43" fontId="9" fillId="0" borderId="40" xfId="1" applyFont="1" applyBorder="1" applyAlignment="1">
      <alignment horizontal="center" vertical="center" wrapText="1"/>
    </xf>
    <xf numFmtId="43" fontId="9" fillId="0" borderId="41" xfId="1" applyFont="1" applyBorder="1" applyAlignment="1">
      <alignment horizontal="center" vertical="center" wrapText="1"/>
    </xf>
    <xf numFmtId="164" fontId="9" fillId="0" borderId="42" xfId="1" applyNumberFormat="1" applyFont="1" applyBorder="1" applyAlignment="1">
      <alignment horizontal="center" vertical="center" wrapText="1"/>
    </xf>
    <xf numFmtId="164" fontId="9" fillId="0" borderId="43" xfId="1" applyNumberFormat="1" applyFont="1" applyBorder="1" applyAlignment="1">
      <alignment horizontal="center" vertical="center" wrapText="1"/>
    </xf>
    <xf numFmtId="164" fontId="9" fillId="0" borderId="44" xfId="1" applyNumberFormat="1" applyFont="1" applyBorder="1" applyAlignment="1">
      <alignment horizontal="center" vertical="center" wrapText="1"/>
    </xf>
    <xf numFmtId="165" fontId="9" fillId="0" borderId="16" xfId="1" applyNumberFormat="1" applyFont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0" fontId="28" fillId="0" borderId="0" xfId="0" applyFont="1"/>
    <xf numFmtId="164" fontId="10" fillId="0" borderId="0" xfId="1" applyNumberFormat="1" applyFont="1" applyAlignment="1">
      <alignment horizontal="left" vertical="center" wrapText="1"/>
    </xf>
    <xf numFmtId="0" fontId="22" fillId="0" borderId="0" xfId="0" applyFont="1" applyAlignment="1">
      <alignment horizontal="justify" vertical="center"/>
    </xf>
    <xf numFmtId="164" fontId="12" fillId="0" borderId="0" xfId="0" applyNumberFormat="1" applyFont="1"/>
    <xf numFmtId="0" fontId="5" fillId="0" borderId="0" xfId="0" applyFont="1"/>
    <xf numFmtId="0" fontId="36" fillId="0" borderId="0" xfId="0" applyFont="1"/>
    <xf numFmtId="164" fontId="11" fillId="0" borderId="0" xfId="2" applyNumberFormat="1" applyFont="1" applyBorder="1" applyAlignment="1">
      <alignment horizontal="left" vertical="center"/>
    </xf>
    <xf numFmtId="164" fontId="10" fillId="0" borderId="0" xfId="2" applyNumberFormat="1" applyFont="1" applyAlignment="1">
      <alignment horizontal="left" vertical="center" wrapText="1"/>
    </xf>
    <xf numFmtId="164" fontId="10" fillId="0" borderId="0" xfId="2" applyNumberFormat="1" applyFont="1" applyBorder="1" applyAlignment="1">
      <alignment horizontal="left" vertical="center"/>
    </xf>
    <xf numFmtId="0" fontId="4" fillId="0" borderId="0" xfId="3" applyFont="1"/>
    <xf numFmtId="164" fontId="6" fillId="2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0" fontId="36" fillId="0" borderId="0" xfId="3" applyFont="1"/>
    <xf numFmtId="0" fontId="4" fillId="0" borderId="0" xfId="0" applyFont="1" applyAlignment="1">
      <alignment horizontal="left" vertical="center" indent="1"/>
    </xf>
    <xf numFmtId="167" fontId="36" fillId="0" borderId="0" xfId="0" applyNumberFormat="1" applyFont="1"/>
    <xf numFmtId="0" fontId="3" fillId="0" borderId="0" xfId="0" applyFont="1"/>
    <xf numFmtId="43" fontId="0" fillId="0" borderId="0" xfId="0" applyNumberFormat="1"/>
    <xf numFmtId="166" fontId="26" fillId="0" borderId="0" xfId="0" applyNumberFormat="1" applyFont="1"/>
    <xf numFmtId="165" fontId="9" fillId="0" borderId="17" xfId="1" applyNumberFormat="1" applyFont="1" applyBorder="1" applyAlignment="1">
      <alignment horizontal="center" vertical="center" wrapText="1"/>
    </xf>
    <xf numFmtId="164" fontId="9" fillId="0" borderId="35" xfId="1" applyNumberFormat="1" applyFont="1" applyFill="1" applyBorder="1" applyAlignment="1">
      <alignment horizontal="center" vertical="center" wrapText="1"/>
    </xf>
    <xf numFmtId="164" fontId="9" fillId="0" borderId="36" xfId="1" applyNumberFormat="1" applyFont="1" applyFill="1" applyBorder="1" applyAlignment="1">
      <alignment horizontal="center" vertical="center" wrapText="1"/>
    </xf>
    <xf numFmtId="0" fontId="38" fillId="0" borderId="0" xfId="0" applyFont="1"/>
    <xf numFmtId="164" fontId="11" fillId="0" borderId="0" xfId="2" applyNumberFormat="1" applyFont="1" applyBorder="1" applyAlignment="1">
      <alignment horizontal="left" vertical="center" wrapText="1"/>
    </xf>
    <xf numFmtId="0" fontId="14" fillId="0" borderId="0" xfId="3" applyFont="1" applyBorder="1"/>
    <xf numFmtId="0" fontId="26" fillId="0" borderId="0" xfId="3" applyFont="1" applyBorder="1" applyAlignment="1">
      <alignment wrapText="1"/>
    </xf>
    <xf numFmtId="0" fontId="27" fillId="2" borderId="1" xfId="0" applyFont="1" applyFill="1" applyBorder="1" applyAlignment="1">
      <alignment horizontal="left" vertical="center" wrapText="1" indent="1"/>
    </xf>
    <xf numFmtId="0" fontId="39" fillId="2" borderId="1" xfId="0" applyFont="1" applyFill="1" applyBorder="1" applyAlignment="1">
      <alignment horizontal="left" vertical="center" wrapText="1" indent="1"/>
    </xf>
    <xf numFmtId="0" fontId="39" fillId="3" borderId="9" xfId="0" applyFont="1" applyFill="1" applyBorder="1" applyAlignment="1">
      <alignment horizontal="left" vertical="center" wrapText="1" indent="1"/>
    </xf>
    <xf numFmtId="0" fontId="39" fillId="4" borderId="9" xfId="0" applyFont="1" applyFill="1" applyBorder="1" applyAlignment="1">
      <alignment horizontal="left" vertical="center" wrapText="1" indent="1"/>
    </xf>
    <xf numFmtId="0" fontId="39" fillId="5" borderId="9" xfId="0" applyFont="1" applyFill="1" applyBorder="1" applyAlignment="1">
      <alignment horizontal="left" vertical="center" wrapText="1" indent="1"/>
    </xf>
    <xf numFmtId="0" fontId="27" fillId="6" borderId="5" xfId="0" applyFont="1" applyFill="1" applyBorder="1" applyAlignment="1">
      <alignment horizontal="left" vertical="center" wrapText="1" indent="1"/>
    </xf>
    <xf numFmtId="164" fontId="27" fillId="2" borderId="28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9" fontId="2" fillId="0" borderId="0" xfId="0" applyNumberFormat="1" applyFont="1"/>
    <xf numFmtId="0" fontId="42" fillId="0" borderId="0" xfId="0" applyFont="1"/>
    <xf numFmtId="43" fontId="19" fillId="0" borderId="32" xfId="1" applyFont="1" applyBorder="1" applyAlignment="1">
      <alignment horizontal="center" vertical="center" wrapText="1"/>
    </xf>
    <xf numFmtId="43" fontId="19" fillId="0" borderId="33" xfId="1" applyFont="1" applyBorder="1" applyAlignment="1">
      <alignment horizontal="center" vertical="center" wrapText="1"/>
    </xf>
    <xf numFmtId="164" fontId="19" fillId="0" borderId="40" xfId="1" applyNumberFormat="1" applyFont="1" applyBorder="1" applyAlignment="1">
      <alignment horizontal="center" vertical="center" wrapText="1"/>
    </xf>
    <xf numFmtId="164" fontId="19" fillId="0" borderId="41" xfId="1" applyNumberFormat="1" applyFont="1" applyBorder="1" applyAlignment="1">
      <alignment horizontal="center" vertical="center" wrapText="1"/>
    </xf>
    <xf numFmtId="43" fontId="19" fillId="0" borderId="40" xfId="1" applyFont="1" applyBorder="1" applyAlignment="1">
      <alignment horizontal="center" vertical="center" wrapText="1"/>
    </xf>
    <xf numFmtId="43" fontId="19" fillId="0" borderId="41" xfId="1" applyFont="1" applyBorder="1" applyAlignment="1">
      <alignment horizontal="center" vertical="center" wrapText="1"/>
    </xf>
    <xf numFmtId="164" fontId="19" fillId="0" borderId="36" xfId="1" applyNumberFormat="1" applyFont="1" applyBorder="1" applyAlignment="1">
      <alignment horizontal="center" vertical="center" wrapText="1"/>
    </xf>
    <xf numFmtId="164" fontId="19" fillId="0" borderId="37" xfId="1" applyNumberFormat="1" applyFont="1" applyBorder="1" applyAlignment="1">
      <alignment horizontal="center" vertical="center" wrapText="1"/>
    </xf>
    <xf numFmtId="166" fontId="0" fillId="0" borderId="0" xfId="0" applyNumberFormat="1"/>
    <xf numFmtId="0" fontId="19" fillId="0" borderId="0" xfId="0" applyFont="1" applyAlignment="1">
      <alignment horizontal="center" vertical="center" wrapText="1"/>
    </xf>
    <xf numFmtId="164" fontId="9" fillId="0" borderId="31" xfId="1" applyNumberFormat="1" applyFont="1" applyFill="1" applyBorder="1" applyAlignment="1">
      <alignment horizontal="center" vertical="center" wrapText="1"/>
    </xf>
    <xf numFmtId="164" fontId="9" fillId="0" borderId="32" xfId="1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43" fontId="19" fillId="0" borderId="31" xfId="1" applyFont="1" applyFill="1" applyBorder="1" applyAlignment="1">
      <alignment horizontal="center" vertical="center" wrapText="1"/>
    </xf>
    <xf numFmtId="43" fontId="19" fillId="0" borderId="32" xfId="1" applyFont="1" applyFill="1" applyBorder="1" applyAlignment="1">
      <alignment horizontal="center" vertical="center" wrapText="1"/>
    </xf>
    <xf numFmtId="164" fontId="19" fillId="0" borderId="39" xfId="1" applyNumberFormat="1" applyFont="1" applyFill="1" applyBorder="1" applyAlignment="1">
      <alignment horizontal="center" vertical="center" wrapText="1"/>
    </xf>
    <xf numFmtId="164" fontId="19" fillId="0" borderId="40" xfId="1" applyNumberFormat="1" applyFont="1" applyFill="1" applyBorder="1" applyAlignment="1">
      <alignment horizontal="center" vertical="center" wrapText="1"/>
    </xf>
    <xf numFmtId="43" fontId="19" fillId="0" borderId="39" xfId="1" applyFont="1" applyFill="1" applyBorder="1" applyAlignment="1">
      <alignment horizontal="center" vertical="center" wrapText="1"/>
    </xf>
    <xf numFmtId="43" fontId="19" fillId="0" borderId="40" xfId="1" applyFont="1" applyFill="1" applyBorder="1" applyAlignment="1">
      <alignment horizontal="center" vertical="center" wrapText="1"/>
    </xf>
    <xf numFmtId="164" fontId="19" fillId="0" borderId="35" xfId="1" applyNumberFormat="1" applyFont="1" applyFill="1" applyBorder="1" applyAlignment="1">
      <alignment horizontal="center" vertical="center" wrapText="1"/>
    </xf>
    <xf numFmtId="164" fontId="19" fillId="0" borderId="36" xfId="1" applyNumberFormat="1" applyFont="1" applyFill="1" applyBorder="1" applyAlignment="1">
      <alignment horizontal="center" vertical="center" wrapText="1"/>
    </xf>
    <xf numFmtId="43" fontId="9" fillId="0" borderId="35" xfId="1" applyFont="1" applyBorder="1" applyAlignment="1">
      <alignment horizontal="center" vertical="center" wrapText="1"/>
    </xf>
    <xf numFmtId="43" fontId="9" fillId="0" borderId="36" xfId="1" applyFont="1" applyBorder="1" applyAlignment="1">
      <alignment horizontal="center" vertical="center" wrapText="1"/>
    </xf>
    <xf numFmtId="43" fontId="9" fillId="0" borderId="37" xfId="1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8" fillId="7" borderId="1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</cellXfs>
  <cellStyles count="4">
    <cellStyle name="Milliers" xfId="1" builtinId="3"/>
    <cellStyle name="Millier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77777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1400" b="0" i="0" u="none" strike="noStrike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/>
              <a:t>Capacité</a:t>
            </a:r>
            <a:r>
              <a:rPr lang="fr-FR" sz="1400" b="0" i="0" baseline="0"/>
              <a:t> : IT ou totale (</a:t>
            </a:r>
            <a:r>
              <a:rPr lang="fr-FR" sz="1400" b="0" i="0"/>
              <a:t>GW)</a:t>
            </a:r>
            <a:endParaRPr lang="fr-FR"/>
          </a:p>
          <a:p>
            <a:pPr marL="0" marR="0" lvl="0" indent="0" algn="ctr" defTabSz="91440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endParaRPr lang="fr-FR" sz="1400" b="0" i="0"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0" i="0" u="none" strike="noStrike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1363"/>
          <c:y val="8.6136000000000004E-2"/>
          <c:w val="0.63491726755684397"/>
          <c:h val="0.76652816942225688"/>
        </c:manualLayout>
      </c:layout>
      <c:scatterChart>
        <c:scatterStyle val="lineMarker"/>
        <c:varyColors val="0"/>
        <c:ser>
          <c:idx val="7"/>
          <c:order val="0"/>
          <c:tx>
            <c:strRef>
              <c:f>DCByte!$B$6</c:f>
              <c:strCache>
                <c:ptCount val="1"/>
                <c:pt idx="0">
                  <c:v>DCByte, 2024 - IT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00005A"/>
              </a:solidFill>
              <a:round/>
            </a:ln>
            <a:effectLst/>
          </c:spPr>
          <c:marker>
            <c:symbol val="none"/>
          </c:marker>
          <c:xVal>
            <c:numRef>
              <c:f>DCByte!$D$2:$J$2</c:f>
              <c:numCache>
                <c:formatCode>_-* #,##0_-;\-* #,##0_-;_-* "-"??_-;_-@_-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2028</c:v>
                </c:pt>
              </c:numCache>
            </c:numRef>
          </c:xVal>
          <c:yVal>
            <c:numRef>
              <c:f>DCByte!$D$6:$J$6</c:f>
              <c:numCache>
                <c:formatCode>_-* #,##0_-;\-* #,##0_-;_-* "-"??_-;_-@_-</c:formatCode>
                <c:ptCount val="7"/>
                <c:pt idx="0">
                  <c:v>17.299999999999997</c:v>
                </c:pt>
                <c:pt idx="1">
                  <c:v>20.148800000000001</c:v>
                </c:pt>
                <c:pt idx="2">
                  <c:v>23.473697799999997</c:v>
                </c:pt>
                <c:pt idx="3">
                  <c:v>27.355368501799997</c:v>
                </c:pt>
                <c:pt idx="4">
                  <c:v>31.8883334463358</c:v>
                </c:pt>
                <c:pt idx="5" formatCode="_-* #,##0.0_-;\-* #,##0.0_-;_-* &quot;-&quot;??_-;_-@_-">
                  <c:v>37.183364528583844</c:v>
                </c:pt>
                <c:pt idx="6">
                  <c:v>81.5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1-864C-A642-11B85E2FB132}"/>
            </c:ext>
          </c:extLst>
        </c:ser>
        <c:ser>
          <c:idx val="4"/>
          <c:order val="1"/>
          <c:tx>
            <c:strRef>
              <c:f>SemiAnalysis!$B$10</c:f>
              <c:strCache>
                <c:ptCount val="1"/>
                <c:pt idx="0">
                  <c:v>SemiAnalysis, 2024 - IT</c:v>
                </c:pt>
              </c:strCache>
            </c:strRef>
          </c:tx>
          <c:spPr bwMode="auto">
            <a:ln w="15875" cap="rnd">
              <a:solidFill>
                <a:srgbClr val="0028DC"/>
              </a:solidFill>
              <a:round/>
            </a:ln>
            <a:effectLst/>
          </c:spPr>
          <c:marker>
            <c:symbol val="none"/>
          </c:marker>
          <c:xVal>
            <c:numRef>
              <c:f>SemiAnalysis!$C$9:$D$9</c:f>
              <c:numCache>
                <c:formatCode>_-* #,##0_-;\-* #,##0_-;_-* "-"??_-;_-@_-</c:formatCode>
                <c:ptCount val="2"/>
                <c:pt idx="0">
                  <c:v>2022</c:v>
                </c:pt>
                <c:pt idx="1">
                  <c:v>2028</c:v>
                </c:pt>
              </c:numCache>
            </c:numRef>
          </c:xVal>
          <c:yVal>
            <c:numRef>
              <c:f>SemiAnalysis!$C$10:$D$10</c:f>
              <c:numCache>
                <c:formatCode>_-* #,##0_-;\-* #,##0_-;_-* "-"??_-;_-@_-</c:formatCode>
                <c:ptCount val="2"/>
                <c:pt idx="0">
                  <c:v>41</c:v>
                </c:pt>
                <c:pt idx="1">
                  <c:v>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41-864C-A642-11B85E2FB132}"/>
            </c:ext>
          </c:extLst>
        </c:ser>
        <c:ser>
          <c:idx val="0"/>
          <c:order val="2"/>
          <c:tx>
            <c:strRef>
              <c:f>Schroders!$B$3</c:f>
              <c:strCache>
                <c:ptCount val="1"/>
                <c:pt idx="0">
                  <c:v>Schroders, 2024 - IT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00CAFE"/>
              </a:solidFill>
              <a:round/>
            </a:ln>
            <a:effectLst/>
          </c:spPr>
          <c:marker>
            <c:symbol val="none"/>
          </c:marker>
          <c:xVal>
            <c:numRef>
              <c:f>Schroders!$C$2:$D$2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2026</c:v>
                </c:pt>
              </c:numCache>
            </c:numRef>
          </c:xVal>
          <c:yVal>
            <c:numRef>
              <c:f>Schroders!$C$3:$D$3</c:f>
              <c:numCache>
                <c:formatCode>_-* #,##0_-;\-* #,##0_-;_-* "-"??_-;_-@_-</c:formatCode>
                <c:ptCount val="2"/>
                <c:pt idx="0">
                  <c:v>49</c:v>
                </c:pt>
                <c:pt idx="1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1-864C-A642-11B85E2FB132}"/>
            </c:ext>
          </c:extLst>
        </c:ser>
        <c:ser>
          <c:idx val="1"/>
          <c:order val="3"/>
          <c:tx>
            <c:v>McKinsey - Low-range</c:v>
          </c:tx>
          <c:spPr bwMode="auto">
            <a:ln w="15875" cap="rnd">
              <a:solidFill>
                <a:srgbClr val="FF8200"/>
              </a:solidFill>
              <a:round/>
            </a:ln>
            <a:effectLst/>
          </c:spPr>
          <c:marker>
            <c:symbol val="none"/>
          </c:marker>
          <c:xVal>
            <c:numRef>
              <c:f>McKinsey!$C$2:$D$2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</c:numRef>
          </c:xVal>
          <c:yVal>
            <c:numRef>
              <c:f>McKinsey!$C$3:$D$3</c:f>
              <c:numCache>
                <c:formatCode>_-* #,##0_-;\-* #,##0_-;_-* "-"??_-;_-@_-</c:formatCode>
                <c:ptCount val="2"/>
                <c:pt idx="0">
                  <c:v>55</c:v>
                </c:pt>
                <c:pt idx="1">
                  <c:v>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41-864C-A642-11B85E2FB132}"/>
            </c:ext>
          </c:extLst>
        </c:ser>
        <c:ser>
          <c:idx val="3"/>
          <c:order val="4"/>
          <c:tx>
            <c:v>McKinsey - Mid-range</c:v>
          </c:tx>
          <c:spPr bwMode="auto">
            <a:ln w="15875" cap="rnd">
              <a:solidFill>
                <a:srgbClr val="FF820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McKinsey!$C$2:$D$2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</c:numRef>
          </c:xVal>
          <c:yVal>
            <c:numRef>
              <c:f>McKinsey!$C$4:$D$4</c:f>
              <c:numCache>
                <c:formatCode>_-* #,##0_-;\-* #,##0_-;_-* "-"??_-;_-@_-</c:formatCode>
                <c:ptCount val="2"/>
                <c:pt idx="0">
                  <c:v>55</c:v>
                </c:pt>
                <c:pt idx="1">
                  <c:v>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41-864C-A642-11B85E2FB132}"/>
            </c:ext>
          </c:extLst>
        </c:ser>
        <c:ser>
          <c:idx val="2"/>
          <c:order val="5"/>
          <c:tx>
            <c:v>McKinsey - Upper-range</c:v>
          </c:tx>
          <c:spPr bwMode="auto">
            <a:ln w="15875" cap="rnd">
              <a:solidFill>
                <a:srgbClr val="FF8200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McKinsey!$C$2:$D$2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</c:numRef>
          </c:xVal>
          <c:yVal>
            <c:numRef>
              <c:f>McKinsey!$C$5:$D$5</c:f>
              <c:numCache>
                <c:formatCode>_-* #,##0_-;\-* #,##0_-;_-* "-"??_-;_-@_-</c:formatCode>
                <c:ptCount val="2"/>
                <c:pt idx="0">
                  <c:v>55</c:v>
                </c:pt>
                <c:pt idx="1">
                  <c:v>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41-864C-A642-11B85E2FB132}"/>
            </c:ext>
          </c:extLst>
        </c:ser>
        <c:ser>
          <c:idx val="11"/>
          <c:order val="6"/>
          <c:tx>
            <c:strRef>
              <c:f>Jefferies!$B$6</c:f>
              <c:strCache>
                <c:ptCount val="1"/>
                <c:pt idx="0">
                  <c:v>Jefferies, 2024</c:v>
                </c:pt>
              </c:strCache>
            </c:strRef>
          </c:tx>
          <c:spPr bwMode="auto">
            <a:ln w="15875" cap="rnd">
              <a:solidFill>
                <a:srgbClr val="FFDC23"/>
              </a:solidFill>
              <a:round/>
            </a:ln>
            <a:effectLst/>
          </c:spPr>
          <c:marker>
            <c:symbol val="none"/>
          </c:marker>
          <c:xVal>
            <c:numRef>
              <c:f>Jefferies!$C$5:$E$5</c:f>
              <c:numCache>
                <c:formatCode>_-* #,##0_-;\-* #,##0_-;_-* "-"??_-;_-@_-</c:formatCode>
                <c:ptCount val="3"/>
                <c:pt idx="0">
                  <c:v>2018</c:v>
                </c:pt>
                <c:pt idx="1">
                  <c:v>2023</c:v>
                </c:pt>
                <c:pt idx="2">
                  <c:v>2030</c:v>
                </c:pt>
              </c:numCache>
            </c:numRef>
          </c:xVal>
          <c:yVal>
            <c:numRef>
              <c:f>Jefferies!$C$6:$E$6</c:f>
              <c:numCache>
                <c:formatCode>_-* #,##0_-;\-* #,##0_-;_-* "-"??_-;_-@_-</c:formatCode>
                <c:ptCount val="3"/>
                <c:pt idx="0">
                  <c:v>30.8</c:v>
                </c:pt>
                <c:pt idx="1">
                  <c:v>66.400000000000006</c:v>
                </c:pt>
                <c:pt idx="2">
                  <c:v>189.4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9F-4520-8B67-6D0650E5C4E9}"/>
            </c:ext>
          </c:extLst>
        </c:ser>
        <c:ser>
          <c:idx val="5"/>
          <c:order val="10"/>
          <c:tx>
            <c:strRef>
              <c:f>'McKinsey Eu'!$B$6</c:f>
              <c:strCache>
                <c:ptCount val="1"/>
                <c:pt idx="0">
                  <c:v>McKinsey Eu, 2024 - Europe (UE27+UK) - IT</c:v>
                </c:pt>
              </c:strCache>
            </c:strRef>
          </c:tx>
          <c:spPr bwMode="auto"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'McKinsey Eu'!$C$5:$D$5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</c:numRef>
          </c:xVal>
          <c:yVal>
            <c:numRef>
              <c:f>'McKinsey Eu'!$C$6:$D$6</c:f>
              <c:numCache>
                <c:formatCode>_-* #,##0_-;\-* #,##0_-;_-* "-"??_-;_-@_-</c:formatCode>
                <c:ptCount val="2"/>
                <c:pt idx="0">
                  <c:v>10</c:v>
                </c:pt>
                <c:pt idx="1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2-4CE1-9E57-C59302B59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74080"/>
        <c:axId val="444874496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7"/>
                <c:tx>
                  <c:strRef>
                    <c:extLst>
                      <c:ext uri="{02D57815-91ED-43cb-92C2-25804820EDAC}">
                        <c15:formulaRef>
                          <c15:sqref>DCByte!$B$3</c15:sqref>
                        </c15:formulaRef>
                      </c:ext>
                    </c:extLst>
                    <c:strCache>
                      <c:ptCount val="1"/>
                      <c:pt idx="0">
                        <c:v>DCByte, 2024 - Americas - IT</c:v>
                      </c:pt>
                    </c:strCache>
                  </c:strRef>
                </c:tx>
                <c:spPr bwMode="auto">
                  <a:ln w="158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pPr bwMode="auto"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DCByte!$D$2:$I$2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DCByte!$D$3:$I$3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8.1</c:v>
                      </c:pt>
                      <c:pt idx="1">
                        <c:v>9.4445999999999994</c:v>
                      </c:pt>
                      <c:pt idx="2">
                        <c:v>11.012403599999997</c:v>
                      </c:pt>
                      <c:pt idx="3">
                        <c:v>12.840462597599997</c:v>
                      </c:pt>
                      <c:pt idx="4">
                        <c:v>14.971979388801595</c:v>
                      </c:pt>
                      <c:pt idx="5">
                        <c:v>17.457327967342657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5CAD-4D91-848D-FFF50009E7F7}"/>
                  </c:ext>
                </c:extLst>
              </c15:ser>
            </c15:filteredScatterSeries>
            <c15:filteredScatte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DCByte!$B$4</c15:sqref>
                        </c15:formulaRef>
                      </c:ext>
                    </c:extLst>
                    <c:strCache>
                      <c:ptCount val="1"/>
                      <c:pt idx="0">
                        <c:v>DCByte, 2024 - APAC - IT</c:v>
                      </c:pt>
                    </c:strCache>
                  </c:strRef>
                </c:tx>
                <c:spPr bwMode="auto">
                  <a:ln w="158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pPr bwMode="auto"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DCByte!$D$2:$I$2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DCByte!$D$4:$I$4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4.5999999999999996</c:v>
                      </c:pt>
                      <c:pt idx="1">
                        <c:v>5.4786000000000001</c:v>
                      </c:pt>
                      <c:pt idx="2">
                        <c:v>6.5250126000000002</c:v>
                      </c:pt>
                      <c:pt idx="3">
                        <c:v>7.7712900066000001</c:v>
                      </c:pt>
                      <c:pt idx="4">
                        <c:v>9.2556063978605998</c:v>
                      </c:pt>
                      <c:pt idx="5">
                        <c:v>11.023427219851975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CAD-4D91-848D-FFF50009E7F7}"/>
                  </c:ext>
                </c:extLst>
              </c15:ser>
            </c15:filteredScatterSeries>
            <c15:filteredScatte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DCByte!$B$5</c15:sqref>
                        </c15:formulaRef>
                      </c:ext>
                    </c:extLst>
                    <c:strCache>
                      <c:ptCount val="1"/>
                      <c:pt idx="0">
                        <c:v>DCByte, 2024 - EMEA - IT </c:v>
                      </c:pt>
                    </c:strCache>
                  </c:strRef>
                </c:tx>
                <c:spPr bwMode="auto">
                  <a:ln w="158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pPr bwMode="auto"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DCByte!$D$2:$I$2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DCByte!$D$5:$I$5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4.5999999999999996</c:v>
                      </c:pt>
                      <c:pt idx="1">
                        <c:v>5.2256</c:v>
                      </c:pt>
                      <c:pt idx="2">
                        <c:v>5.9362816000000009</c:v>
                      </c:pt>
                      <c:pt idx="3">
                        <c:v>6.7436158976000025</c:v>
                      </c:pt>
                      <c:pt idx="4">
                        <c:v>7.6607476596736026</c:v>
                      </c:pt>
                      <c:pt idx="5">
                        <c:v>8.7026093413892127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CAD-4D91-848D-FFF50009E7F7}"/>
                  </c:ext>
                </c:extLst>
              </c15:ser>
            </c15:filteredScatterSeries>
            <c15:filteredScatterSeries>
              <c15:ser>
                <c:idx val="6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'BCG SEA'!$B$5</c15:sqref>
                        </c15:formulaRef>
                      </c:ext>
                    </c:extLst>
                    <c:strCache>
                      <c:ptCount val="1"/>
                      <c:pt idx="0">
                        <c:v>BCG, 2024 - South East Asia</c:v>
                      </c:pt>
                    </c:strCache>
                  </c:strRef>
                </c:tx>
                <c:spPr bwMode="auto">
                  <a:ln w="158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pPr bwMode="auto">
                    <a:noFill/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'BCG SEA'!$C$2:$D$2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"/>
                      <c:pt idx="0">
                        <c:v>2023</c:v>
                      </c:pt>
                      <c:pt idx="1">
                        <c:v>2030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'BCG SEA'!$C$5:$D$5</c15:sqref>
                        </c15:formulaRef>
                      </c:ext>
                    </c:extLst>
                    <c:numCache>
                      <c:formatCode>_-* #,##0.0_-;\-* #,##0.0_-;_-* "-"??_-;_-@_-</c:formatCode>
                      <c:ptCount val="2"/>
                      <c:pt idx="0">
                        <c:v>2.1</c:v>
                      </c:pt>
                      <c:pt idx="1">
                        <c:v>5.85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AD-4D91-848D-FFF50009E7F7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Jefferies!$B$13</c15:sqref>
                        </c15:formulaRef>
                      </c:ext>
                    </c:extLst>
                    <c:strCache>
                      <c:ptCount val="1"/>
                      <c:pt idx="0">
                        <c:v>Jefferies, 2024 - Asie Pacifique</c:v>
                      </c:pt>
                    </c:strCache>
                  </c:strRef>
                </c:tx>
                <c:spPr bwMode="auto">
                  <a:ln w="158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pPr bwMode="auto">
                    <a:noFill/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Jefferies!$C$12:$E$12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2018</c:v>
                      </c:pt>
                      <c:pt idx="1">
                        <c:v>2023</c:v>
                      </c:pt>
                      <c:pt idx="2">
                        <c:v>2030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Jefferies!$C$13:$E$13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6.2</c:v>
                      </c:pt>
                      <c:pt idx="1">
                        <c:v>14.1</c:v>
                      </c:pt>
                      <c:pt idx="2">
                        <c:v>40.799999999999997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9F-4520-8B67-6D0650E5C4E9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Jefferies!$B$14</c15:sqref>
                        </c15:formulaRef>
                      </c:ext>
                    </c:extLst>
                    <c:strCache>
                      <c:ptCount val="1"/>
                      <c:pt idx="0">
                        <c:v>Jefferies, 2024 - Amérique du Nord</c:v>
                      </c:pt>
                    </c:strCache>
                  </c:strRef>
                </c:tx>
                <c:spPr bwMode="auto">
                  <a:ln w="158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pPr bwMode="auto">
                    <a:noFill/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Jefferies!$C$12:$E$12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2018</c:v>
                      </c:pt>
                      <c:pt idx="1">
                        <c:v>2023</c:v>
                      </c:pt>
                      <c:pt idx="2">
                        <c:v>2030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Jefferies!$C$14:$E$14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10.8</c:v>
                      </c:pt>
                      <c:pt idx="1">
                        <c:v>23</c:v>
                      </c:pt>
                      <c:pt idx="2">
                        <c:v>67.3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9F-4520-8B67-6D0650E5C4E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Jefferies!$B$15</c15:sqref>
                        </c15:formulaRef>
                      </c:ext>
                    </c:extLst>
                    <c:strCache>
                      <c:ptCount val="1"/>
                      <c:pt idx="0">
                        <c:v>Jefferies, 2024 - Europe</c:v>
                      </c:pt>
                    </c:strCache>
                  </c:strRef>
                </c:tx>
                <c:spPr bwMode="auto">
                  <a:ln w="158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pPr bwMode="auto"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Jefferies!$C$12:$E$12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2018</c:v>
                      </c:pt>
                      <c:pt idx="1">
                        <c:v>2023</c:v>
                      </c:pt>
                      <c:pt idx="2">
                        <c:v>2030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Jefferies!$C$15:$E$15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5.3</c:v>
                      </c:pt>
                      <c:pt idx="1">
                        <c:v>9.9</c:v>
                      </c:pt>
                      <c:pt idx="2">
                        <c:v>25.2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9F-4520-8B67-6D0650E5C4E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Jefferies!$B$16</c15:sqref>
                        </c15:formulaRef>
                      </c:ext>
                    </c:extLst>
                    <c:strCache>
                      <c:ptCount val="1"/>
                      <c:pt idx="0">
                        <c:v>Jefferies, 2024 - Rest of the world</c:v>
                      </c:pt>
                    </c:strCache>
                  </c:strRef>
                </c:tx>
                <c:spPr bwMode="auto">
                  <a:ln w="158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pPr bwMode="auto">
                    <a:noFill/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Jefferies!$C$12:$E$12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2018</c:v>
                      </c:pt>
                      <c:pt idx="1">
                        <c:v>2023</c:v>
                      </c:pt>
                      <c:pt idx="2">
                        <c:v>2030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Jefferies!$C$16:$E$16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8.5</c:v>
                      </c:pt>
                      <c:pt idx="1">
                        <c:v>19.399999999999999</c:v>
                      </c:pt>
                      <c:pt idx="2">
                        <c:v>56.1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9F-4520-8B67-6D0650E5C4E9}"/>
                  </c:ext>
                </c:extLst>
              </c15:ser>
            </c15:filteredScatterSeries>
          </c:ext>
        </c:extLst>
      </c:scatterChart>
      <c:valAx>
        <c:axId val="444874080"/>
        <c:scaling>
          <c:orientation val="minMax"/>
          <c:max val="2030"/>
          <c:min val="2018"/>
        </c:scaling>
        <c:delete val="0"/>
        <c:axPos val="b"/>
        <c:majorGridlines>
          <c:spPr bwMode="auto"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crossBetween val="midCat"/>
      </c:valAx>
      <c:valAx>
        <c:axId val="444874496"/>
        <c:scaling>
          <c:orientation val="minMax"/>
          <c:max val="3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midCat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2202390457823"/>
          <c:y val="0.10750293211601365"/>
          <c:w val="0.21741938653924109"/>
          <c:h val="0.74086209685599891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1400" b="0" i="0" u="none" strike="noStrike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/>
              <a:t>Consommation énergétique des centres de données (phase d'utilisation) (TWh)</a:t>
            </a:r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0" i="0" u="none" strike="noStrike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230040034599952"/>
          <c:y val="7.2098799341194036E-2"/>
          <c:w val="0.81805099999999997"/>
          <c:h val="0.60855300000000001"/>
        </c:manualLayout>
      </c:layout>
      <c:scatterChart>
        <c:scatterStyle val="lineMarker"/>
        <c:varyColors val="0"/>
        <c:ser>
          <c:idx val="9"/>
          <c:order val="2"/>
          <c:tx>
            <c:strRef>
              <c:f>IEA!$B$3</c:f>
              <c:strCache>
                <c:ptCount val="1"/>
                <c:pt idx="0">
                  <c:v>IEA, 2024 - Low case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00005A"/>
              </a:solidFill>
              <a:round/>
            </a:ln>
            <a:effectLst/>
          </c:spPr>
          <c:marker>
            <c:symbol val="none"/>
          </c:marker>
          <c:xVal>
            <c:numRef>
              <c:f>IEA!$C$2:$D$2</c:f>
              <c:numCache>
                <c:formatCode>_-* #,##0_-;\-* #,##0_-;_-* "-"??_-;_-@_-</c:formatCode>
                <c:ptCount val="2"/>
                <c:pt idx="0">
                  <c:v>2022</c:v>
                </c:pt>
                <c:pt idx="1">
                  <c:v>2026</c:v>
                </c:pt>
              </c:numCache>
            </c:numRef>
          </c:xVal>
          <c:yVal>
            <c:numRef>
              <c:f>IEA!$C$3:$D$3</c:f>
              <c:numCache>
                <c:formatCode>_-* #,##0_-;\-* #,##0_-;_-* "-"??_-;_-@_-</c:formatCode>
                <c:ptCount val="2"/>
                <c:pt idx="0">
                  <c:v>460</c:v>
                </c:pt>
                <c:pt idx="1">
                  <c:v>620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AC-3F48-8103-3E1D5223FF48}"/>
            </c:ext>
          </c:extLst>
        </c:ser>
        <c:ser>
          <c:idx val="0"/>
          <c:order val="3"/>
          <c:tx>
            <c:strRef>
              <c:f>IEA!$B$4</c:f>
              <c:strCache>
                <c:ptCount val="1"/>
                <c:pt idx="0">
                  <c:v>IEA, 2024 - Base case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00005A"/>
              </a:solidFill>
              <a:round/>
            </a:ln>
            <a:effectLst/>
          </c:spPr>
          <c:marker>
            <c:symbol val="none"/>
          </c:marker>
          <c:xVal>
            <c:numRef>
              <c:f>IEA!$C$2:$D$2</c:f>
              <c:numCache>
                <c:formatCode>_-* #,##0_-;\-* #,##0_-;_-* "-"??_-;_-@_-</c:formatCode>
                <c:ptCount val="2"/>
                <c:pt idx="0">
                  <c:v>2022</c:v>
                </c:pt>
                <c:pt idx="1">
                  <c:v>2026</c:v>
                </c:pt>
              </c:numCache>
            </c:numRef>
          </c:xVal>
          <c:yVal>
            <c:numRef>
              <c:f>IEA!$C$4:$D$4</c:f>
              <c:numCache>
                <c:formatCode>_-* #,##0_-;\-* #,##0_-;_-* "-"??_-;_-@_-</c:formatCode>
                <c:ptCount val="2"/>
                <c:pt idx="0">
                  <c:v>460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AC-3F48-8103-3E1D5223FF48}"/>
            </c:ext>
          </c:extLst>
        </c:ser>
        <c:ser>
          <c:idx val="1"/>
          <c:order val="4"/>
          <c:tx>
            <c:strRef>
              <c:f>IEA!$B$5</c:f>
              <c:strCache>
                <c:ptCount val="1"/>
                <c:pt idx="0">
                  <c:v>IEA, 2024 - High case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00005A"/>
              </a:solidFill>
              <a:round/>
            </a:ln>
            <a:effectLst/>
          </c:spPr>
          <c:marker>
            <c:symbol val="none"/>
          </c:marker>
          <c:xVal>
            <c:numRef>
              <c:f>IEA!$C$2:$D$2</c:f>
              <c:numCache>
                <c:formatCode>_-* #,##0_-;\-* #,##0_-;_-* "-"??_-;_-@_-</c:formatCode>
                <c:ptCount val="2"/>
                <c:pt idx="0">
                  <c:v>2022</c:v>
                </c:pt>
                <c:pt idx="1">
                  <c:v>2026</c:v>
                </c:pt>
              </c:numCache>
            </c:numRef>
          </c:xVal>
          <c:yVal>
            <c:numRef>
              <c:f>IEA!$C$5:$D$5</c:f>
              <c:numCache>
                <c:formatCode>_-* #,##0_-;\-* #,##0_-;_-* "-"??_-;_-@_-</c:formatCode>
                <c:ptCount val="2"/>
                <c:pt idx="0">
                  <c:v>460</c:v>
                </c:pt>
                <c:pt idx="1">
                  <c:v>1050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AC-3F48-8103-3E1D5223FF48}"/>
            </c:ext>
          </c:extLst>
        </c:ser>
        <c:ser>
          <c:idx val="2"/>
          <c:order val="5"/>
          <c:tx>
            <c:strRef>
              <c:f>IEA!$B$26</c:f>
              <c:strCache>
                <c:ptCount val="1"/>
                <c:pt idx="0">
                  <c:v>IEA WEO, 2024 - Based on electricy added for 2023-2030 + slower data center growth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0028DC"/>
              </a:solidFill>
              <a:round/>
            </a:ln>
            <a:effectLst/>
          </c:spPr>
          <c:marker>
            <c:symbol val="none"/>
          </c:marker>
          <c:xVal>
            <c:numRef>
              <c:f>IEA!$C$25:$D$25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</c:numRef>
          </c:xVal>
          <c:yVal>
            <c:numRef>
              <c:f>IEA!$C$26:$D$26</c:f>
              <c:numCache>
                <c:formatCode>_-* #,##0_-;\-* #,##0_-;_-* "-"??_-;_-@_-</c:formatCode>
                <c:ptCount val="2"/>
                <c:pt idx="0">
                  <c:v>545</c:v>
                </c:pt>
                <c:pt idx="1">
                  <c:v>1111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AC-3F48-8103-3E1D5223FF48}"/>
            </c:ext>
          </c:extLst>
        </c:ser>
        <c:ser>
          <c:idx val="3"/>
          <c:order val="6"/>
          <c:tx>
            <c:strRef>
              <c:f>IEA!$B$27</c:f>
              <c:strCache>
                <c:ptCount val="1"/>
                <c:pt idx="0">
                  <c:v>IEA WEO, 2024 - Based on electricy added for 2023-2030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0028DC"/>
              </a:solidFill>
              <a:round/>
            </a:ln>
            <a:effectLst/>
          </c:spPr>
          <c:marker>
            <c:symbol val="none"/>
          </c:marker>
          <c:xVal>
            <c:numRef>
              <c:f>IEA!$C$25:$D$25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</c:numRef>
          </c:xVal>
          <c:yVal>
            <c:numRef>
              <c:f>IEA!$C$27:$D$27</c:f>
              <c:numCache>
                <c:formatCode>_-* #,##0_-;\-* #,##0_-;_-* "-"??_-;_-@_-</c:formatCode>
                <c:ptCount val="2"/>
                <c:pt idx="0">
                  <c:v>545</c:v>
                </c:pt>
                <c:pt idx="1">
                  <c:v>1221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AC-3F48-8103-3E1D5223FF48}"/>
            </c:ext>
          </c:extLst>
        </c:ser>
        <c:ser>
          <c:idx val="4"/>
          <c:order val="7"/>
          <c:tx>
            <c:strRef>
              <c:f>IEA!$B$28</c:f>
              <c:strCache>
                <c:ptCount val="1"/>
                <c:pt idx="0">
                  <c:v>IEA WEO, 2024 - Based on electricy added for 2023-2030 + faster data center growth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0028DC"/>
              </a:solidFill>
              <a:round/>
            </a:ln>
            <a:effectLst/>
          </c:spPr>
          <c:marker>
            <c:symbol val="none"/>
          </c:marker>
          <c:xVal>
            <c:numRef>
              <c:f>IEA!$C$25:$D$25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</c:numRef>
          </c:xVal>
          <c:yVal>
            <c:numRef>
              <c:f>IEA!$C$28:$D$28</c:f>
              <c:numCache>
                <c:formatCode>_-* #,##0_-;\-* #,##0_-;_-* "-"??_-;_-@_-</c:formatCode>
                <c:ptCount val="2"/>
                <c:pt idx="0">
                  <c:v>545</c:v>
                </c:pt>
                <c:pt idx="1">
                  <c:v>1391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AC-3F48-8103-3E1D5223FF48}"/>
            </c:ext>
          </c:extLst>
        </c:ser>
        <c:ser>
          <c:idx val="11"/>
          <c:order val="8"/>
          <c:tx>
            <c:strRef>
              <c:f>Deloitte!$B$3</c:f>
              <c:strCache>
                <c:ptCount val="1"/>
                <c:pt idx="0">
                  <c:v>Deloitte, 2024 - Baseline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00CAFE"/>
              </a:solidFill>
              <a:round/>
            </a:ln>
            <a:effectLst/>
          </c:spPr>
          <c:marker>
            <c:symbol val="none"/>
          </c:marker>
          <c:xVal>
            <c:numRef>
              <c:f>Deloitte!$C$2:$E$2</c:f>
              <c:numCache>
                <c:formatCode>_-* #,##0_-;\-* #,##0_-;_-* "-"??_-;_-@_-</c:formatCode>
                <c:ptCount val="3"/>
                <c:pt idx="0">
                  <c:v>2023</c:v>
                </c:pt>
                <c:pt idx="1">
                  <c:v>2030</c:v>
                </c:pt>
                <c:pt idx="2">
                  <c:v>2035</c:v>
                </c:pt>
              </c:numCache>
            </c:numRef>
          </c:xVal>
          <c:yVal>
            <c:numRef>
              <c:f>Deloitte!$C$3:$E$3</c:f>
              <c:numCache>
                <c:formatCode>_-* #,##0_-;\-* #,##0_-;_-* "-"??_-;_-@_-</c:formatCode>
                <c:ptCount val="3"/>
                <c:pt idx="0">
                  <c:v>382</c:v>
                </c:pt>
                <c:pt idx="1">
                  <c:v>705</c:v>
                </c:pt>
                <c:pt idx="2">
                  <c:v>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8AC-3F48-8103-3E1D5223FF48}"/>
            </c:ext>
          </c:extLst>
        </c:ser>
        <c:ser>
          <c:idx val="12"/>
          <c:order val="9"/>
          <c:tx>
            <c:strRef>
              <c:f>Deloitte!$B$4</c:f>
              <c:strCache>
                <c:ptCount val="1"/>
                <c:pt idx="0">
                  <c:v>Deloitte, 2024 - High adoption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00CAFE"/>
              </a:solidFill>
              <a:round/>
            </a:ln>
            <a:effectLst/>
          </c:spPr>
          <c:marker>
            <c:symbol val="none"/>
          </c:marker>
          <c:xVal>
            <c:numRef>
              <c:f>Deloitte!$C$2:$E$2</c:f>
              <c:numCache>
                <c:formatCode>_-* #,##0_-;\-* #,##0_-;_-* "-"??_-;_-@_-</c:formatCode>
                <c:ptCount val="3"/>
                <c:pt idx="0">
                  <c:v>2023</c:v>
                </c:pt>
                <c:pt idx="1">
                  <c:v>2030</c:v>
                </c:pt>
                <c:pt idx="2">
                  <c:v>2035</c:v>
                </c:pt>
              </c:numCache>
            </c:numRef>
          </c:xVal>
          <c:yVal>
            <c:numRef>
              <c:f>Deloitte!$C$4:$E$4</c:f>
              <c:numCache>
                <c:formatCode>_-* #,##0_-;\-* #,##0_-;_-* "-"??_-;_-@_-</c:formatCode>
                <c:ptCount val="3"/>
                <c:pt idx="0">
                  <c:v>382</c:v>
                </c:pt>
                <c:pt idx="1">
                  <c:v>970</c:v>
                </c:pt>
                <c:pt idx="2">
                  <c:v>1975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8AC-3F48-8103-3E1D5223FF48}"/>
            </c:ext>
          </c:extLst>
        </c:ser>
        <c:ser>
          <c:idx val="6"/>
          <c:order val="10"/>
          <c:tx>
            <c:strRef>
              <c:f>Borderstep!$B$3</c:f>
              <c:strCache>
                <c:ptCount val="1"/>
                <c:pt idx="0">
                  <c:v>Borderstep (Hintemann, Hinterholzer, 2020)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FF8200"/>
              </a:solidFill>
              <a:round/>
            </a:ln>
            <a:effectLst/>
          </c:spPr>
          <c:marker>
            <c:symbol val="none"/>
          </c:marker>
          <c:xVal>
            <c:numRef>
              <c:f>Borderstep!$C$2:$E$2</c:f>
              <c:numCache>
                <c:formatCode>_-* #,##0_-;\-* #,##0_-;_-* "-"??_-;_-@_-</c:formatCode>
                <c:ptCount val="3"/>
                <c:pt idx="0">
                  <c:v>2017</c:v>
                </c:pt>
                <c:pt idx="1">
                  <c:v>2022</c:v>
                </c:pt>
                <c:pt idx="2">
                  <c:v>2030</c:v>
                </c:pt>
              </c:numCache>
            </c:numRef>
          </c:xVal>
          <c:yVal>
            <c:numRef>
              <c:f>Borderstep!$C$3:$E$3</c:f>
              <c:numCache>
                <c:formatCode>_-* #,##0_-;\-* #,##0_-;_-* "-"??_-;_-@_-</c:formatCode>
                <c:ptCount val="3"/>
                <c:pt idx="0">
                  <c:v>350</c:v>
                </c:pt>
                <c:pt idx="1">
                  <c:v>501.53846153846149</c:v>
                </c:pt>
                <c:pt idx="2">
                  <c:v>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AC-3F48-8103-3E1D5223FF48}"/>
            </c:ext>
          </c:extLst>
        </c:ser>
        <c:ser>
          <c:idx val="13"/>
          <c:order val="11"/>
          <c:tx>
            <c:v>Goldman Sachs, 2024</c:v>
          </c:tx>
          <c:spPr bwMode="auto">
            <a:ln w="19050" cap="rnd">
              <a:solidFill>
                <a:srgbClr val="FFDC23"/>
              </a:solidFill>
              <a:round/>
            </a:ln>
            <a:effectLst/>
          </c:spPr>
          <c:marker>
            <c:symbol val="none"/>
          </c:marker>
          <c:xVal>
            <c:numRef>
              <c:f>'Goldman Sachs'!$C$2:$D$2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</c:numRef>
          </c:xVal>
          <c:yVal>
            <c:numRef>
              <c:f>'Goldman Sachs'!$C$3:$D$3</c:f>
              <c:numCache>
                <c:formatCode>_-* #,##0_-;\-* #,##0_-;_-* "-"??_-;_-@_-</c:formatCode>
                <c:ptCount val="2"/>
                <c:pt idx="0">
                  <c:v>411</c:v>
                </c:pt>
                <c:pt idx="1">
                  <c:v>1063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8AC-3F48-8103-3E1D5223FF48}"/>
            </c:ext>
          </c:extLst>
        </c:ser>
        <c:ser>
          <c:idx val="18"/>
          <c:order val="12"/>
          <c:tx>
            <c:strRef>
              <c:f>Jefferies!$B$3</c:f>
              <c:strCache>
                <c:ptCount val="1"/>
                <c:pt idx="0">
                  <c:v>Jefferies, 2024</c:v>
                </c:pt>
              </c:strCache>
            </c:strRef>
          </c:tx>
          <c:spPr bwMode="auto"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Jefferies!$D$2:$E$2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</c:numRef>
          </c:xVal>
          <c:yVal>
            <c:numRef>
              <c:f>Jefferies!$D$3:$E$3</c:f>
              <c:numCache>
                <c:formatCode>_-* #,##0_-;\-* #,##0_-;_-* "-"??_-;_-@_-</c:formatCode>
                <c:ptCount val="2"/>
                <c:pt idx="0">
                  <c:v>524</c:v>
                </c:pt>
                <c:pt idx="1">
                  <c:v>1493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11-41C4-A465-D8B3B1DAD493}"/>
            </c:ext>
          </c:extLst>
        </c:ser>
        <c:ser>
          <c:idx val="14"/>
          <c:order val="13"/>
          <c:tx>
            <c:v>SemiAnalysis - Limited AI Impact</c:v>
          </c:tx>
          <c:spPr bwMode="auto">
            <a:ln w="15875" cap="rnd">
              <a:solidFill>
                <a:srgbClr val="FF8200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SemiAnalysis!$C$2:$D$2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  <c:extLst xmlns:c15="http://schemas.microsoft.com/office/drawing/2012/chart"/>
            </c:numRef>
          </c:xVal>
          <c:yVal>
            <c:numRef>
              <c:f>SemiAnalysis!$C$3:$D$3</c:f>
              <c:numCache>
                <c:formatCode>_-* #,##0_-;\-* #,##0_-;_-* "-"??_-;_-@_-</c:formatCode>
                <c:ptCount val="2"/>
                <c:pt idx="0">
                  <c:v>450</c:v>
                </c:pt>
                <c:pt idx="1">
                  <c:v>750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78AC-3F48-8103-3E1D5223FF48}"/>
            </c:ext>
          </c:extLst>
        </c:ser>
        <c:ser>
          <c:idx val="15"/>
          <c:order val="14"/>
          <c:tx>
            <c:v>SemiAnalysis -  Base Case</c:v>
          </c:tx>
          <c:spPr bwMode="auto">
            <a:ln w="15875" cap="rnd">
              <a:solidFill>
                <a:srgbClr val="FF8200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SemiAnalysis!$C$2:$D$2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  <c:extLst xmlns:c15="http://schemas.microsoft.com/office/drawing/2012/chart"/>
            </c:numRef>
          </c:xVal>
          <c:yVal>
            <c:numRef>
              <c:f>SemiAnalysis!$C$4:$D$4</c:f>
              <c:numCache>
                <c:formatCode>_-* #,##0_-;\-* #,##0_-;_-* "-"??_-;_-@_-</c:formatCode>
                <c:ptCount val="2"/>
                <c:pt idx="0">
                  <c:v>450</c:v>
                </c:pt>
                <c:pt idx="1">
                  <c:v>1500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78AC-3F48-8103-3E1D5223FF48}"/>
            </c:ext>
          </c:extLst>
        </c:ser>
        <c:ser>
          <c:idx val="16"/>
          <c:order val="15"/>
          <c:tx>
            <c:v>SemiAnalysis - Accelerated Case</c:v>
          </c:tx>
          <c:spPr bwMode="auto">
            <a:ln w="15875" cap="rnd">
              <a:solidFill>
                <a:srgbClr val="FF8200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 bwMode="auto">
              <a:ln w="15875" cap="rnd">
                <a:solidFill>
                  <a:srgbClr val="FF8200">
                    <a:lumMod val="20000"/>
                    <a:lumOff val="80000"/>
                  </a:srgbClr>
                </a:solidFill>
                <a:round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78AC-3F48-8103-3E1D5223FF48}"/>
              </c:ext>
            </c:extLst>
          </c:dPt>
          <c:xVal>
            <c:numRef>
              <c:f>SemiAnalysis!$C$2:$D$2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  <c:extLst xmlns:c15="http://schemas.microsoft.com/office/drawing/2012/chart"/>
            </c:numRef>
          </c:xVal>
          <c:yVal>
            <c:numRef>
              <c:f>SemiAnalysis!$C$5:$D$5</c:f>
              <c:numCache>
                <c:formatCode>_-* #,##0_-;\-* #,##0_-;_-* "-"??_-;_-@_-</c:formatCode>
                <c:ptCount val="2"/>
                <c:pt idx="0">
                  <c:v>450</c:v>
                </c:pt>
                <c:pt idx="1">
                  <c:v>2125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78AC-3F48-8103-3E1D5223FF48}"/>
            </c:ext>
          </c:extLst>
        </c:ser>
        <c:ser>
          <c:idx val="8"/>
          <c:order val="16"/>
          <c:tx>
            <c:strRef>
              <c:f>'LBNL US'!$B$3</c:f>
              <c:strCache>
                <c:ptCount val="1"/>
                <c:pt idx="0">
                  <c:v>US - LBNL, 2024 - low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B0EB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'LBNL US'!$C$2:$D$2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2028</c:v>
                </c:pt>
              </c:numCache>
            </c:numRef>
          </c:xVal>
          <c:yVal>
            <c:numRef>
              <c:f>'LBNL US'!$C$3:$D$3</c:f>
              <c:numCache>
                <c:formatCode>_-* #,##0_-;\-* #,##0_-;_-* "-"??_-;_-@_-</c:formatCode>
                <c:ptCount val="2"/>
                <c:pt idx="0">
                  <c:v>176</c:v>
                </c:pt>
                <c:pt idx="1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8AC-3F48-8103-3E1D5223FF48}"/>
            </c:ext>
          </c:extLst>
        </c:ser>
        <c:ser>
          <c:idx val="10"/>
          <c:order val="17"/>
          <c:tx>
            <c:strRef>
              <c:f>'LBNL US'!$B$4</c:f>
              <c:strCache>
                <c:ptCount val="1"/>
                <c:pt idx="0">
                  <c:v>US - LBNL, 2024 - high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B0EB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'LBNL US'!$C$2:$D$2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2028</c:v>
                </c:pt>
              </c:numCache>
            </c:numRef>
          </c:xVal>
          <c:yVal>
            <c:numRef>
              <c:f>'LBNL US'!$C$4:$D$4</c:f>
              <c:numCache>
                <c:formatCode>_-* #,##0_-;\-* #,##0_-;_-* "-"??_-;_-@_-</c:formatCode>
                <c:ptCount val="2"/>
                <c:pt idx="0">
                  <c:v>176</c:v>
                </c:pt>
                <c:pt idx="1">
                  <c:v>580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8AC-3F48-8103-3E1D5223FF48}"/>
            </c:ext>
          </c:extLst>
        </c:ser>
        <c:ser>
          <c:idx val="17"/>
          <c:order val="18"/>
          <c:tx>
            <c:strRef>
              <c:f>'McKinsey Eu'!$B$3</c:f>
              <c:strCache>
                <c:ptCount val="1"/>
                <c:pt idx="0">
                  <c:v>Europe (UE27+UK) - McKinsey, 2024</c:v>
                </c:pt>
              </c:strCache>
            </c:strRef>
          </c:tx>
          <c:spPr bwMode="auto">
            <a:ln w="15875" cap="rnd">
              <a:solidFill>
                <a:srgbClr val="0072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'McKinsey Eu'!$C$2:$D$2</c:f>
              <c:numCache>
                <c:formatCode>_-* #,##0_-;\-* #,##0_-;_-* "-"??_-;_-@_-</c:formatCode>
                <c:ptCount val="2"/>
                <c:pt idx="0">
                  <c:v>2023</c:v>
                </c:pt>
                <c:pt idx="1">
                  <c:v>2030</c:v>
                </c:pt>
              </c:numCache>
            </c:numRef>
          </c:xVal>
          <c:yVal>
            <c:numRef>
              <c:f>'McKinsey Eu'!$C$3:$D$3</c:f>
              <c:numCache>
                <c:formatCode>_-* #,##0_-;\-* #,##0_-;_-* "-"??_-;_-@_-</c:formatCode>
                <c:ptCount val="2"/>
                <c:pt idx="0">
                  <c:v>60</c:v>
                </c:pt>
                <c:pt idx="1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AC-425E-B356-6C55F11E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74080"/>
        <c:axId val="444874496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DCByte!$B$9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 bwMode="auto">
                  <a:prstGeom prst="rect">
                    <a:avLst/>
                  </a:prstGeom>
                  <a:ln w="15875" cap="rnd">
                    <a:solidFill>
                      <a:srgbClr val="808080"/>
                    </a:solidFill>
                    <a:prstDash val="dash"/>
                    <a:round/>
                  </a:ln>
                  <a:effectLst/>
                </c:spPr>
                <c:marker>
                  <c:symbol val="circle"/>
                  <c:size val="5"/>
                  <c:spPr bwMode="auto">
                    <a:prstGeom prst="rect">
                      <a:avLst/>
                    </a:prstGeom>
                    <a:solidFill>
                      <a:srgbClr val="808080"/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DCByte!$D$8:$I$8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DCByte!$D$9:$I$9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78AC-3F48-8103-3E1D5223FF48}"/>
                  </c:ext>
                </c:extLst>
              </c15:ser>
            </c15:filteredScatterSeries>
            <c15:filteredScatter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DCByte!$B$12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 bwMode="auto">
                  <a:prstGeom prst="rect">
                    <a:avLst/>
                  </a:prstGeom>
                  <a:ln w="15875" cap="rnd">
                    <a:solidFill>
                      <a:srgbClr val="80808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 bwMode="auto">
                    <a:prstGeom prst="rect">
                      <a:avLst/>
                    </a:prstGeom>
                    <a:solidFill>
                      <a:srgbClr val="808080"/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DCByte!$D$11:$G$11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DCByte!$D$12:$G$12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8AC-3F48-8103-3E1D5223FF48}"/>
                  </c:ext>
                </c:extLst>
              </c15:ser>
            </c15:filteredScatterSeries>
          </c:ext>
        </c:extLst>
      </c:scatterChart>
      <c:valAx>
        <c:axId val="444874080"/>
        <c:scaling>
          <c:orientation val="minMax"/>
          <c:max val="2035"/>
          <c:min val="2017"/>
        </c:scaling>
        <c:delete val="0"/>
        <c:axPos val="b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crossBetween val="midCat"/>
        <c:majorUnit val="2"/>
      </c:valAx>
      <c:valAx>
        <c:axId val="444874496"/>
        <c:scaling>
          <c:orientation val="minMax"/>
          <c:max val="220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/>
                  <a:t>Consommation d'énergie finale (TWh)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2.7594E-2"/>
              <c:y val="0.17791499999999999"/>
            </c:manualLayout>
          </c:layout>
          <c:overlay val="0"/>
          <c:spPr>
            <a:prstGeom prst="rect">
              <a:avLst/>
            </a:prstGeom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midCat"/>
        <c:majorUnit val="200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79999999999998E-3"/>
          <c:y val="0.74020381204991526"/>
          <c:w val="0.99253194543074974"/>
          <c:h val="0.25979618795008469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657"/>
          <c:y val="8.6136000000000004E-2"/>
          <c:w val="0.61649900127986434"/>
          <c:h val="0.80346823702121983"/>
        </c:manualLayout>
      </c:layout>
      <c:scatterChart>
        <c:scatterStyle val="lineMarker"/>
        <c:varyColors val="0"/>
        <c:ser>
          <c:idx val="4"/>
          <c:order val="0"/>
          <c:tx>
            <c:strRef>
              <c:f>TSP!$B$3</c:f>
              <c:strCache>
                <c:ptCount val="1"/>
                <c:pt idx="0">
                  <c:v>TSP - Lean ICT, 2018 - Phase I</c:v>
                </c:pt>
              </c:strCache>
            </c:strRef>
          </c:tx>
          <c:spPr bwMode="auto">
            <a:ln w="15875" cap="rnd">
              <a:solidFill>
                <a:srgbClr val="00005A"/>
              </a:solidFill>
              <a:round/>
            </a:ln>
            <a:effectLst/>
          </c:spPr>
          <c:marker>
            <c:symbol val="none"/>
          </c:marker>
          <c:xVal>
            <c:numRef>
              <c:f>TSP!$C$2:$I$2</c:f>
              <c:numCache>
                <c:formatCode>_-* #,##0_-;\-* #,##0_-;_-* "-"??_-;_-@_-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xVal>
          <c:yVal>
            <c:numRef>
              <c:f>TSP!$C$3:$I$3</c:f>
              <c:numCache>
                <c:formatCode>_-* #,##0_-;\-* #,##0_-;_-* "-"??_-;_-@_-</c:formatCode>
                <c:ptCount val="7"/>
                <c:pt idx="0">
                  <c:v>222.36809958605352</c:v>
                </c:pt>
                <c:pt idx="1">
                  <c:v>237.2358294753632</c:v>
                </c:pt>
                <c:pt idx="2">
                  <c:v>275.74329831177056</c:v>
                </c:pt>
                <c:pt idx="3">
                  <c:v>332.22558769982669</c:v>
                </c:pt>
                <c:pt idx="4">
                  <c:v>378.6253173417677</c:v>
                </c:pt>
                <c:pt idx="5">
                  <c:v>409.52574638590909</c:v>
                </c:pt>
                <c:pt idx="6">
                  <c:v>420.59296344633037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758-4B0B-9939-FAF979A031FC}"/>
            </c:ext>
          </c:extLst>
        </c:ser>
        <c:ser>
          <c:idx val="5"/>
          <c:order val="1"/>
          <c:tx>
            <c:strRef>
              <c:f>TSP!$B$6</c:f>
              <c:strCache>
                <c:ptCount val="1"/>
                <c:pt idx="0">
                  <c:v>TSP - Lean ICT, 2021 - Conservative</c:v>
                </c:pt>
              </c:strCache>
            </c:strRef>
          </c:tx>
          <c:spPr bwMode="auto">
            <a:ln w="15875" cap="rnd">
              <a:solidFill>
                <a:srgbClr val="00005A"/>
              </a:solidFill>
              <a:round/>
            </a:ln>
            <a:effectLst/>
          </c:spPr>
          <c:marker>
            <c:symbol val="none"/>
          </c:marker>
          <c:xVal>
            <c:numRef>
              <c:f>TSP!$C$5:$I$5</c:f>
              <c:numCache>
                <c:formatCode>_-* #,##0_-;\-* #,##0_-;_-* "-"??_-;_-@_-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xVal>
          <c:yVal>
            <c:numRef>
              <c:f>TSP!$C$6:$I$6</c:f>
              <c:numCache>
                <c:formatCode>_-* #,##0_-;\-* #,##0_-;_-* "-"??_-;_-@_-</c:formatCode>
                <c:ptCount val="7"/>
                <c:pt idx="0">
                  <c:v>421</c:v>
                </c:pt>
                <c:pt idx="1">
                  <c:v>437.57893029199954</c:v>
                </c:pt>
                <c:pt idx="2">
                  <c:v>456.39789274937692</c:v>
                </c:pt>
                <c:pt idx="3">
                  <c:v>477.32345650938862</c:v>
                </c:pt>
                <c:pt idx="4">
                  <c:v>500.67194238789421</c:v>
                </c:pt>
                <c:pt idx="5">
                  <c:v>526.80908850383616</c:v>
                </c:pt>
                <c:pt idx="6">
                  <c:v>556.15780462971895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73-4B48-9777-DE987978E957}"/>
            </c:ext>
          </c:extLst>
        </c:ser>
        <c:ser>
          <c:idx val="6"/>
          <c:order val="2"/>
          <c:tx>
            <c:strRef>
              <c:f>TSP!$B$7</c:f>
              <c:strCache>
                <c:ptCount val="1"/>
                <c:pt idx="0">
                  <c:v>TSP - Lean ICT, 2021 - Growth</c:v>
                </c:pt>
              </c:strCache>
            </c:strRef>
          </c:tx>
          <c:spPr bwMode="auto">
            <a:ln w="15875" cap="rnd">
              <a:solidFill>
                <a:srgbClr val="0028DC"/>
              </a:solidFill>
              <a:round/>
            </a:ln>
            <a:effectLst/>
          </c:spPr>
          <c:marker>
            <c:symbol val="none"/>
          </c:marker>
          <c:xVal>
            <c:numRef>
              <c:f>TSP!$C$5:$I$5</c:f>
              <c:numCache>
                <c:formatCode>_-* #,##0_-;\-* #,##0_-;_-* "-"??_-;_-@_-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xVal>
          <c:yVal>
            <c:numRef>
              <c:f>TSP!$C$7:$I$7</c:f>
              <c:numCache>
                <c:formatCode>_-* #,##0_-;\-* #,##0_-;_-* "-"??_-;_-@_-</c:formatCode>
                <c:ptCount val="7"/>
                <c:pt idx="0">
                  <c:v>421</c:v>
                </c:pt>
                <c:pt idx="1">
                  <c:v>449.53914475945686</c:v>
                </c:pt>
                <c:pt idx="2">
                  <c:v>481.76971956183957</c:v>
                </c:pt>
                <c:pt idx="3">
                  <c:v>517.81647383411655</c:v>
                </c:pt>
                <c:pt idx="4">
                  <c:v>558.30918085575922</c:v>
                </c:pt>
                <c:pt idx="5">
                  <c:v>603.99427843286298</c:v>
                </c:pt>
                <c:pt idx="6">
                  <c:v>655.75713477446516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73-4B48-9777-DE987978E957}"/>
            </c:ext>
          </c:extLst>
        </c:ser>
        <c:ser>
          <c:idx val="7"/>
          <c:order val="3"/>
          <c:tx>
            <c:strRef>
              <c:f>TSP!$B$8</c:f>
              <c:strCache>
                <c:ptCount val="1"/>
                <c:pt idx="0">
                  <c:v>TSP - Lean ICT, 2021 - Growth Less EE </c:v>
                </c:pt>
              </c:strCache>
            </c:strRef>
          </c:tx>
          <c:spPr bwMode="auto">
            <a:ln w="15875" cap="rnd">
              <a:solidFill>
                <a:srgbClr val="00CAFE"/>
              </a:solidFill>
              <a:round/>
            </a:ln>
            <a:effectLst/>
          </c:spPr>
          <c:marker>
            <c:spPr bwMode="auto">
              <a:solidFill>
                <a:srgbClr val="00CAFE"/>
              </a:solidFill>
              <a:ln w="9525">
                <a:noFill/>
              </a:ln>
              <a:effectLst/>
            </c:spPr>
          </c:marker>
          <c:xVal>
            <c:numRef>
              <c:f>TSP!$C$5:$I$5</c:f>
              <c:numCache>
                <c:formatCode>_-* #,##0_-;\-* #,##0_-;_-* "-"??_-;_-@_-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xVal>
          <c:yVal>
            <c:numRef>
              <c:f>TSP!$C$8:$I$8</c:f>
              <c:numCache>
                <c:formatCode>_-* #,##0_-;\-* #,##0_-;_-* "-"??_-;_-@_-</c:formatCode>
                <c:ptCount val="7"/>
                <c:pt idx="0">
                  <c:v>421</c:v>
                </c:pt>
                <c:pt idx="1">
                  <c:v>458.60838945871598</c:v>
                </c:pt>
                <c:pt idx="2">
                  <c:v>501.18727734610525</c:v>
                </c:pt>
                <c:pt idx="3">
                  <c:v>549.05010974737434</c:v>
                </c:pt>
                <c:pt idx="4">
                  <c:v>603.05103224291258</c:v>
                </c:pt>
                <c:pt idx="5">
                  <c:v>664.20439628497707</c:v>
                </c:pt>
                <c:pt idx="6">
                  <c:v>733.71670333378825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73-4B48-9777-DE987978E957}"/>
            </c:ext>
          </c:extLst>
        </c:ser>
        <c:ser>
          <c:idx val="8"/>
          <c:order val="4"/>
          <c:tx>
            <c:strRef>
              <c:f>TSP!$B$9</c:f>
              <c:strCache>
                <c:ptCount val="1"/>
                <c:pt idx="0">
                  <c:v>TSP - Lean ICT, 2021 - New Sobriety</c:v>
                </c:pt>
              </c:strCache>
            </c:strRef>
          </c:tx>
          <c:spPr bwMode="auto">
            <a:ln w="15875" cap="rnd">
              <a:solidFill>
                <a:srgbClr val="B0EBFF"/>
              </a:solidFill>
              <a:round/>
            </a:ln>
            <a:effectLst/>
          </c:spPr>
          <c:marker>
            <c:symbol val="none"/>
          </c:marker>
          <c:xVal>
            <c:numRef>
              <c:f>TSP!$C$5:$I$5</c:f>
              <c:numCache>
                <c:formatCode>_-* #,##0_-;\-* #,##0_-;_-* "-"??_-;_-@_-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xVal>
          <c:yVal>
            <c:numRef>
              <c:f>TSP!$C$9:$I$9</c:f>
              <c:numCache>
                <c:formatCode>_-* #,##0_-;\-* #,##0_-;_-* "-"??_-;_-@_-</c:formatCode>
                <c:ptCount val="7"/>
                <c:pt idx="0">
                  <c:v>421</c:v>
                </c:pt>
                <c:pt idx="1">
                  <c:v>402.33421740918772</c:v>
                </c:pt>
                <c:pt idx="2">
                  <c:v>385.47339098053061</c:v>
                </c:pt>
                <c:pt idx="3">
                  <c:v>369.93823708867239</c:v>
                </c:pt>
                <c:pt idx="4">
                  <c:v>355.66137571941749</c:v>
                </c:pt>
                <c:pt idx="5">
                  <c:v>342.58002073349775</c:v>
                </c:pt>
                <c:pt idx="6">
                  <c:v>330.63572404276869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73-4B48-9777-DE987978E957}"/>
            </c:ext>
          </c:extLst>
        </c:ser>
        <c:ser>
          <c:idx val="1"/>
          <c:order val="5"/>
          <c:tx>
            <c:strRef>
              <c:f>Borderstep!$B$3</c:f>
              <c:strCache>
                <c:ptCount val="1"/>
                <c:pt idx="0">
                  <c:v>Borderstep (Hintemann, Hinterholzer, 2020)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FF8200"/>
              </a:solidFill>
              <a:round/>
            </a:ln>
            <a:effectLst/>
          </c:spPr>
          <c:marker>
            <c:symbol val="none"/>
          </c:marker>
          <c:xVal>
            <c:numRef>
              <c:f>Borderstep!$C$2:$E$2</c:f>
              <c:numCache>
                <c:formatCode>_-* #,##0_-;\-* #,##0_-;_-* "-"??_-;_-@_-</c:formatCode>
                <c:ptCount val="3"/>
                <c:pt idx="0">
                  <c:v>2017</c:v>
                </c:pt>
                <c:pt idx="1">
                  <c:v>2022</c:v>
                </c:pt>
                <c:pt idx="2">
                  <c:v>2030</c:v>
                </c:pt>
              </c:numCache>
            </c:numRef>
          </c:xVal>
          <c:yVal>
            <c:numRef>
              <c:f>Borderstep!$C$3:$E$3</c:f>
              <c:numCache>
                <c:formatCode>_-* #,##0_-;\-* #,##0_-;_-* "-"??_-;_-@_-</c:formatCode>
                <c:ptCount val="3"/>
                <c:pt idx="0">
                  <c:v>350</c:v>
                </c:pt>
                <c:pt idx="1">
                  <c:v>501.53846153846149</c:v>
                </c:pt>
                <c:pt idx="2">
                  <c:v>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758-4B0B-9939-FAF979A031FC}"/>
            </c:ext>
          </c:extLst>
        </c:ser>
        <c:ser>
          <c:idx val="0"/>
          <c:order val="6"/>
          <c:tx>
            <c:strRef>
              <c:f>Borderstep!$B$6</c:f>
              <c:strCache>
                <c:ptCount val="1"/>
                <c:pt idx="0">
                  <c:v>Borderstep (Hintemann, Hinterholzer, 2020)</c:v>
                </c:pt>
              </c:strCache>
            </c:strRef>
          </c:tx>
          <c:spPr bwMode="auto">
            <a:ln w="15875" cap="rnd">
              <a:solidFill>
                <a:srgbClr val="FF8200"/>
              </a:solidFill>
              <a:round/>
            </a:ln>
            <a:effectLst/>
          </c:spPr>
          <c:marker>
            <c:symbol val="none"/>
          </c:marker>
          <c:xVal>
            <c:numRef>
              <c:f>Borderstep!$C$5:$G$5</c:f>
              <c:numCache>
                <c:formatCode>_-* #,##0_-;\-* #,##0_-;_-* "-"??_-;_-@_-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xVal>
          <c:yVal>
            <c:numRef>
              <c:f>Borderstep!$C$6:$G$6</c:f>
              <c:numCache>
                <c:formatCode>_-* #,##0_-;\-* #,##0_-;_-* "-"??_-;_-@_-</c:formatCode>
                <c:ptCount val="5"/>
                <c:pt idx="0">
                  <c:v>260</c:v>
                </c:pt>
                <c:pt idx="1">
                  <c:v>275</c:v>
                </c:pt>
                <c:pt idx="2">
                  <c:v>290</c:v>
                </c:pt>
                <c:pt idx="3">
                  <c:v>320</c:v>
                </c:pt>
                <c:pt idx="4">
                  <c:v>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73-4B48-9777-DE987978E957}"/>
            </c:ext>
          </c:extLst>
        </c:ser>
        <c:ser>
          <c:idx val="2"/>
          <c:order val="7"/>
          <c:tx>
            <c:strRef>
              <c:f>DCByte!$B$9</c:f>
              <c:strCache>
                <c:ptCount val="1"/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FFDC23"/>
              </a:solidFill>
              <a:prstDash val="solid"/>
              <a:round/>
            </a:ln>
            <a:effectLst/>
          </c:spPr>
          <c:marker>
            <c:symbol val="square"/>
            <c:size val="5"/>
            <c:spPr bwMode="auto">
              <a:solidFill>
                <a:srgbClr val="FFDC23"/>
              </a:solidFill>
              <a:ln w="9525">
                <a:noFill/>
              </a:ln>
              <a:effectLst/>
            </c:spPr>
          </c:marker>
          <c:xVal>
            <c:numRef>
              <c:f>DCByte!$D$8:$I$8</c:f>
              <c:numCache>
                <c:formatCode>General</c:formatCode>
                <c:ptCount val="6"/>
              </c:numCache>
            </c:numRef>
          </c:xVal>
          <c:yVal>
            <c:numRef>
              <c:f>DCByte!$D$9:$I$9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758-4B0B-9939-FAF979A031FC}"/>
            </c:ext>
          </c:extLst>
        </c:ser>
        <c:ser>
          <c:idx val="3"/>
          <c:order val="8"/>
          <c:tx>
            <c:strRef>
              <c:f>DCByte!$B$12</c:f>
              <c:strCache>
                <c:ptCount val="1"/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FFDC23"/>
              </a:solidFill>
              <a:round/>
            </a:ln>
            <a:effectLst/>
          </c:spPr>
          <c:marker>
            <c:symbol val="none"/>
          </c:marker>
          <c:xVal>
            <c:numRef>
              <c:f>DCByte!$D$11:$G$11</c:f>
              <c:numCache>
                <c:formatCode>General</c:formatCode>
                <c:ptCount val="4"/>
              </c:numCache>
            </c:numRef>
          </c:xVal>
          <c:yVal>
            <c:numRef>
              <c:f>DCByte!$D$12:$G$12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758-4B0B-9939-FAF979A031FC}"/>
            </c:ext>
          </c:extLst>
        </c:ser>
        <c:ser>
          <c:idx val="9"/>
          <c:order val="9"/>
          <c:tx>
            <c:strRef>
              <c:f>IEA!$B$4</c:f>
              <c:strCache>
                <c:ptCount val="1"/>
                <c:pt idx="0">
                  <c:v>IEA, 2024 - Base case</c:v>
                </c:pt>
              </c:strCache>
            </c:strRef>
          </c:tx>
          <c:spPr bwMode="auto"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 bwMode="auto"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IEA!$C$2</c:f>
              <c:numCache>
                <c:formatCode>_-* #,##0_-;\-* #,##0_-;_-* "-"??_-;_-@_-</c:formatCode>
                <c:ptCount val="1"/>
                <c:pt idx="0">
                  <c:v>2022</c:v>
                </c:pt>
              </c:numCache>
            </c:numRef>
          </c:xVal>
          <c:yVal>
            <c:numRef>
              <c:f>IEA!$C$4</c:f>
              <c:numCache>
                <c:formatCode>_-* #,##0_-;\-* #,##0_-;_-* "-"??_-;_-@_-</c:formatCode>
                <c:ptCount val="1"/>
                <c:pt idx="0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73-4B48-9777-DE987978E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74080"/>
        <c:axId val="444874496"/>
      </c:scatterChart>
      <c:valAx>
        <c:axId val="444874080"/>
        <c:scaling>
          <c:orientation val="minMax"/>
          <c:max val="2030"/>
          <c:min val="2012"/>
        </c:scaling>
        <c:delete val="0"/>
        <c:axPos val="b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crossBetween val="midCat"/>
      </c:valAx>
      <c:valAx>
        <c:axId val="444874496"/>
        <c:scaling>
          <c:orientation val="minMax"/>
          <c:max val="90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midCat"/>
        <c:majorUnit val="100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94474404820867"/>
          <c:y val="0.19467619778459896"/>
          <c:w val="0.22540138143395039"/>
          <c:h val="0.69963048845589215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1400" b="0" i="0" u="none" strike="noStrike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/>
              <a:t>Capacité</a:t>
            </a:r>
            <a:r>
              <a:rPr lang="fr-FR" sz="1400" b="0" i="0" baseline="0"/>
              <a:t> : IT ou totale (</a:t>
            </a:r>
            <a:r>
              <a:rPr lang="fr-FR" sz="1400" b="0" i="0"/>
              <a:t>GW)</a:t>
            </a:r>
            <a:endParaRPr lang="fr-FR"/>
          </a:p>
          <a:p>
            <a:pPr marL="0" marR="0" lvl="0" indent="0" algn="ctr" defTabSz="91440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endParaRPr lang="fr-FR" sz="1400" b="0" i="0"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0" i="0" u="none" strike="noStrike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1363"/>
          <c:y val="8.6136000000000004E-2"/>
          <c:w val="0.59591570749444167"/>
          <c:h val="0.76652816942225688"/>
        </c:manualLayout>
      </c:layout>
      <c:scatterChart>
        <c:scatterStyle val="lineMarker"/>
        <c:varyColors val="0"/>
        <c:ser>
          <c:idx val="11"/>
          <c:order val="0"/>
          <c:tx>
            <c:strRef>
              <c:f>Jefferies!$B$6</c:f>
              <c:strCache>
                <c:ptCount val="1"/>
                <c:pt idx="0">
                  <c:v>Jefferies, 2024</c:v>
                </c:pt>
              </c:strCache>
            </c:strRef>
          </c:tx>
          <c:spPr bwMode="auto">
            <a:ln w="15875" cap="rnd">
              <a:solidFill>
                <a:srgbClr val="00005A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Jefferies!$C$5:$E$5</c:f>
              <c:numCache>
                <c:formatCode>_-* #,##0_-;\-* #,##0_-;_-* "-"??_-;_-@_-</c:formatCode>
                <c:ptCount val="3"/>
                <c:pt idx="0">
                  <c:v>2018</c:v>
                </c:pt>
                <c:pt idx="1">
                  <c:v>2023</c:v>
                </c:pt>
                <c:pt idx="2">
                  <c:v>2030</c:v>
                </c:pt>
              </c:numCache>
            </c:numRef>
          </c:xVal>
          <c:yVal>
            <c:numRef>
              <c:f>Jefferies!$C$6:$E$6</c:f>
              <c:numCache>
                <c:formatCode>_-* #,##0_-;\-* #,##0_-;_-* "-"??_-;_-@_-</c:formatCode>
                <c:ptCount val="3"/>
                <c:pt idx="0">
                  <c:v>30.8</c:v>
                </c:pt>
                <c:pt idx="1">
                  <c:v>66.400000000000006</c:v>
                </c:pt>
                <c:pt idx="2">
                  <c:v>189.4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D8-4A11-8DFB-88621E4F6315}"/>
            </c:ext>
          </c:extLst>
        </c:ser>
        <c:ser>
          <c:idx val="12"/>
          <c:order val="1"/>
          <c:tx>
            <c:strRef>
              <c:f>Jefferies!$B$13</c:f>
              <c:strCache>
                <c:ptCount val="1"/>
                <c:pt idx="0">
                  <c:v>Jefferies, 2024 - Asie Pacifique</c:v>
                </c:pt>
              </c:strCache>
              <c:extLst xmlns:c15="http://schemas.microsoft.com/office/drawing/2012/chart"/>
            </c:strRef>
          </c:tx>
          <c:spPr bwMode="auto">
            <a:ln w="15875" cap="rnd">
              <a:solidFill>
                <a:srgbClr val="FFDC2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Jefferies!$C$12:$E$12</c:f>
              <c:numCache>
                <c:formatCode>_-* #,##0_-;\-* #,##0_-;_-* "-"??_-;_-@_-</c:formatCode>
                <c:ptCount val="3"/>
                <c:pt idx="0">
                  <c:v>2018</c:v>
                </c:pt>
                <c:pt idx="1">
                  <c:v>2023</c:v>
                </c:pt>
                <c:pt idx="2">
                  <c:v>2030</c:v>
                </c:pt>
              </c:numCache>
              <c:extLst xmlns:c15="http://schemas.microsoft.com/office/drawing/2012/chart"/>
            </c:numRef>
          </c:xVal>
          <c:yVal>
            <c:numRef>
              <c:f>Jefferies!$C$13:$E$13</c:f>
              <c:numCache>
                <c:formatCode>_-* #,##0_-;\-* #,##0_-;_-* "-"??_-;_-@_-</c:formatCode>
                <c:ptCount val="3"/>
                <c:pt idx="0">
                  <c:v>6.2</c:v>
                </c:pt>
                <c:pt idx="1">
                  <c:v>14.1</c:v>
                </c:pt>
                <c:pt idx="2">
                  <c:v>40.799999999999997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00D8-4A11-8DFB-88621E4F6315}"/>
            </c:ext>
          </c:extLst>
        </c:ser>
        <c:ser>
          <c:idx val="13"/>
          <c:order val="2"/>
          <c:tx>
            <c:strRef>
              <c:f>Jefferies!$B$14</c:f>
              <c:strCache>
                <c:ptCount val="1"/>
                <c:pt idx="0">
                  <c:v>Jefferies, 2024 - Amérique du Nord</c:v>
                </c:pt>
              </c:strCache>
              <c:extLst xmlns:c15="http://schemas.microsoft.com/office/drawing/2012/chart"/>
            </c:strRef>
          </c:tx>
          <c:spPr bwMode="auto">
            <a:ln w="15875" cap="rnd">
              <a:solidFill>
                <a:srgbClr val="0028DC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Jefferies!$C$12:$E$12</c:f>
              <c:numCache>
                <c:formatCode>_-* #,##0_-;\-* #,##0_-;_-* "-"??_-;_-@_-</c:formatCode>
                <c:ptCount val="3"/>
                <c:pt idx="0">
                  <c:v>2018</c:v>
                </c:pt>
                <c:pt idx="1">
                  <c:v>2023</c:v>
                </c:pt>
                <c:pt idx="2">
                  <c:v>2030</c:v>
                </c:pt>
              </c:numCache>
              <c:extLst xmlns:c15="http://schemas.microsoft.com/office/drawing/2012/chart"/>
            </c:numRef>
          </c:xVal>
          <c:yVal>
            <c:numRef>
              <c:f>Jefferies!$C$14:$E$14</c:f>
              <c:numCache>
                <c:formatCode>_-* #,##0_-;\-* #,##0_-;_-* "-"??_-;_-@_-</c:formatCode>
                <c:ptCount val="3"/>
                <c:pt idx="0">
                  <c:v>10.8</c:v>
                </c:pt>
                <c:pt idx="1">
                  <c:v>23</c:v>
                </c:pt>
                <c:pt idx="2">
                  <c:v>67.3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00D8-4A11-8DFB-88621E4F6315}"/>
            </c:ext>
          </c:extLst>
        </c:ser>
        <c:ser>
          <c:idx val="14"/>
          <c:order val="3"/>
          <c:tx>
            <c:strRef>
              <c:f>Jefferies!$B$15</c:f>
              <c:strCache>
                <c:ptCount val="1"/>
                <c:pt idx="0">
                  <c:v>Jefferies, 2024 - Europe</c:v>
                </c:pt>
              </c:strCache>
              <c:extLst xmlns:c15="http://schemas.microsoft.com/office/drawing/2012/chart"/>
            </c:strRef>
          </c:tx>
          <c:spPr bwMode="auto">
            <a:ln w="15875" cap="rnd">
              <a:solidFill>
                <a:srgbClr val="FF82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Jefferies!$C$12:$E$12</c:f>
              <c:numCache>
                <c:formatCode>_-* #,##0_-;\-* #,##0_-;_-* "-"??_-;_-@_-</c:formatCode>
                <c:ptCount val="3"/>
                <c:pt idx="0">
                  <c:v>2018</c:v>
                </c:pt>
                <c:pt idx="1">
                  <c:v>2023</c:v>
                </c:pt>
                <c:pt idx="2">
                  <c:v>2030</c:v>
                </c:pt>
              </c:numCache>
              <c:extLst xmlns:c15="http://schemas.microsoft.com/office/drawing/2012/chart"/>
            </c:numRef>
          </c:xVal>
          <c:yVal>
            <c:numRef>
              <c:f>Jefferies!$C$15:$E$15</c:f>
              <c:numCache>
                <c:formatCode>_-* #,##0_-;\-* #,##0_-;_-* "-"??_-;_-@_-</c:formatCode>
                <c:ptCount val="3"/>
                <c:pt idx="0">
                  <c:v>5.3</c:v>
                </c:pt>
                <c:pt idx="1">
                  <c:v>9.9</c:v>
                </c:pt>
                <c:pt idx="2">
                  <c:v>25.2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00D8-4A11-8DFB-88621E4F6315}"/>
            </c:ext>
          </c:extLst>
        </c:ser>
        <c:ser>
          <c:idx val="15"/>
          <c:order val="4"/>
          <c:tx>
            <c:strRef>
              <c:f>Jefferies!$B$16</c:f>
              <c:strCache>
                <c:ptCount val="1"/>
                <c:pt idx="0">
                  <c:v>Jefferies, 2024 - Rest of the world</c:v>
                </c:pt>
              </c:strCache>
              <c:extLst xmlns:c15="http://schemas.microsoft.com/office/drawing/2012/chart"/>
            </c:strRef>
          </c:tx>
          <c:spPr bwMode="auto">
            <a:ln w="15875" cap="rnd">
              <a:solidFill>
                <a:srgbClr val="00CAFE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Jefferies!$C$12:$E$12</c:f>
              <c:numCache>
                <c:formatCode>_-* #,##0_-;\-* #,##0_-;_-* "-"??_-;_-@_-</c:formatCode>
                <c:ptCount val="3"/>
                <c:pt idx="0">
                  <c:v>2018</c:v>
                </c:pt>
                <c:pt idx="1">
                  <c:v>2023</c:v>
                </c:pt>
                <c:pt idx="2">
                  <c:v>2030</c:v>
                </c:pt>
              </c:numCache>
              <c:extLst xmlns:c15="http://schemas.microsoft.com/office/drawing/2012/chart"/>
            </c:numRef>
          </c:xVal>
          <c:yVal>
            <c:numRef>
              <c:f>Jefferies!$C$16:$E$16</c:f>
              <c:numCache>
                <c:formatCode>0</c:formatCode>
                <c:ptCount val="3"/>
                <c:pt idx="0">
                  <c:v>8.5</c:v>
                </c:pt>
                <c:pt idx="1">
                  <c:v>19.399999999999999</c:v>
                </c:pt>
                <c:pt idx="2">
                  <c:v>56.1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00D8-4A11-8DFB-88621E4F6315}"/>
            </c:ext>
          </c:extLst>
        </c:ser>
        <c:ser>
          <c:idx val="7"/>
          <c:order val="5"/>
          <c:tx>
            <c:strRef>
              <c:f>DCByte!$B$6</c:f>
              <c:strCache>
                <c:ptCount val="1"/>
                <c:pt idx="0">
                  <c:v>DCByte, 2024 - IT</c:v>
                </c:pt>
              </c:strCache>
            </c:strRef>
          </c:tx>
          <c:spPr bwMode="auto">
            <a:prstGeom prst="rect">
              <a:avLst/>
            </a:prstGeom>
            <a:ln w="15875" cap="rnd">
              <a:solidFill>
                <a:srgbClr val="00005A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DCByte!$D$2:$J$2</c:f>
              <c:numCache>
                <c:formatCode>_-* #,##0_-;\-* #,##0_-;_-* "-"??_-;_-@_-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2028</c:v>
                </c:pt>
              </c:numCache>
            </c:numRef>
          </c:xVal>
          <c:yVal>
            <c:numRef>
              <c:f>DCByte!$D$6:$J$6</c:f>
              <c:numCache>
                <c:formatCode>_-* #,##0_-;\-* #,##0_-;_-* "-"??_-;_-@_-</c:formatCode>
                <c:ptCount val="7"/>
                <c:pt idx="0">
                  <c:v>17.299999999999997</c:v>
                </c:pt>
                <c:pt idx="1">
                  <c:v>20.148800000000001</c:v>
                </c:pt>
                <c:pt idx="2">
                  <c:v>23.473697799999997</c:v>
                </c:pt>
                <c:pt idx="3">
                  <c:v>27.355368501799997</c:v>
                </c:pt>
                <c:pt idx="4">
                  <c:v>31.8883334463358</c:v>
                </c:pt>
                <c:pt idx="5" formatCode="_-* #,##0.0_-;\-* #,##0.0_-;_-* &quot;-&quot;??_-;_-@_-">
                  <c:v>37.183364528583844</c:v>
                </c:pt>
                <c:pt idx="6">
                  <c:v>81.5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8-4A11-8DFB-88621E4F6315}"/>
            </c:ext>
          </c:extLst>
        </c:ser>
        <c:ser>
          <c:idx val="9"/>
          <c:order val="6"/>
          <c:tx>
            <c:strRef>
              <c:f>DCByte!$B$4</c:f>
              <c:strCache>
                <c:ptCount val="1"/>
                <c:pt idx="0">
                  <c:v>DCByte, 2024 - APAC - IT</c:v>
                </c:pt>
              </c:strCache>
              <c:extLst xmlns:c15="http://schemas.microsoft.com/office/drawing/2012/chart"/>
            </c:strRef>
          </c:tx>
          <c:spPr bwMode="auto">
            <a:ln w="15875" cap="rnd">
              <a:solidFill>
                <a:srgbClr val="FFDC2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DCByte!$D$2:$I$2</c:f>
              <c:numCache>
                <c:formatCode>_-* #,##0_-;\-* #,##0_-;_-* "-"??_-;_-@_-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  <c:extLst xmlns:c15="http://schemas.microsoft.com/office/drawing/2012/chart"/>
            </c:numRef>
          </c:xVal>
          <c:yVal>
            <c:numRef>
              <c:f>DCByte!$D$4:$I$4</c:f>
              <c:numCache>
                <c:formatCode>_-* #,##0_-;\-* #,##0_-;_-* "-"??_-;_-@_-</c:formatCode>
                <c:ptCount val="6"/>
                <c:pt idx="0">
                  <c:v>4.5999999999999996</c:v>
                </c:pt>
                <c:pt idx="1">
                  <c:v>5.4786000000000001</c:v>
                </c:pt>
                <c:pt idx="2">
                  <c:v>6.5250126000000002</c:v>
                </c:pt>
                <c:pt idx="3">
                  <c:v>7.7712900066000001</c:v>
                </c:pt>
                <c:pt idx="4">
                  <c:v>9.2556063978605998</c:v>
                </c:pt>
                <c:pt idx="5">
                  <c:v>11.023427219851975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00D8-4A11-8DFB-88621E4F6315}"/>
            </c:ext>
          </c:extLst>
        </c:ser>
        <c:ser>
          <c:idx val="8"/>
          <c:order val="7"/>
          <c:tx>
            <c:strRef>
              <c:f>DCByte!$B$3</c:f>
              <c:strCache>
                <c:ptCount val="1"/>
                <c:pt idx="0">
                  <c:v>DCByte, 2024 - Americas - IT</c:v>
                </c:pt>
              </c:strCache>
              <c:extLst xmlns:c15="http://schemas.microsoft.com/office/drawing/2012/chart"/>
            </c:strRef>
          </c:tx>
          <c:spPr bwMode="auto">
            <a:ln w="15875" cap="rnd">
              <a:solidFill>
                <a:srgbClr val="0028DC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DCByte!$D$2:$I$2</c:f>
              <c:numCache>
                <c:formatCode>_-* #,##0_-;\-* #,##0_-;_-* "-"??_-;_-@_-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  <c:extLst xmlns:c15="http://schemas.microsoft.com/office/drawing/2012/chart"/>
            </c:numRef>
          </c:xVal>
          <c:yVal>
            <c:numRef>
              <c:f>DCByte!$D$3:$I$3</c:f>
              <c:numCache>
                <c:formatCode>_-* #,##0_-;\-* #,##0_-;_-* "-"??_-;_-@_-</c:formatCode>
                <c:ptCount val="6"/>
                <c:pt idx="0">
                  <c:v>8.1</c:v>
                </c:pt>
                <c:pt idx="1">
                  <c:v>9.4445999999999994</c:v>
                </c:pt>
                <c:pt idx="2">
                  <c:v>11.012403599999997</c:v>
                </c:pt>
                <c:pt idx="3">
                  <c:v>12.840462597599997</c:v>
                </c:pt>
                <c:pt idx="4">
                  <c:v>14.971979388801595</c:v>
                </c:pt>
                <c:pt idx="5">
                  <c:v>17.457327967342657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00D8-4A11-8DFB-88621E4F6315}"/>
            </c:ext>
          </c:extLst>
        </c:ser>
        <c:ser>
          <c:idx val="10"/>
          <c:order val="8"/>
          <c:tx>
            <c:strRef>
              <c:f>DCByte!$B$5</c:f>
              <c:strCache>
                <c:ptCount val="1"/>
                <c:pt idx="0">
                  <c:v>DCByte, 2024 - EMEA - IT </c:v>
                </c:pt>
              </c:strCache>
              <c:extLst xmlns:c15="http://schemas.microsoft.com/office/drawing/2012/chart"/>
            </c:strRef>
          </c:tx>
          <c:spPr bwMode="auto">
            <a:ln w="15875" cap="rnd">
              <a:solidFill>
                <a:srgbClr val="FF82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DCByte!$D$2:$I$2</c:f>
              <c:numCache>
                <c:formatCode>_-* #,##0_-;\-* #,##0_-;_-* "-"??_-;_-@_-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  <c:extLst xmlns:c15="http://schemas.microsoft.com/office/drawing/2012/chart"/>
            </c:numRef>
          </c:xVal>
          <c:yVal>
            <c:numRef>
              <c:f>DCByte!$D$5:$I$5</c:f>
              <c:numCache>
                <c:formatCode>_-* #,##0_-;\-* #,##0_-;_-* "-"??_-;_-@_-</c:formatCode>
                <c:ptCount val="6"/>
                <c:pt idx="0">
                  <c:v>4.5999999999999996</c:v>
                </c:pt>
                <c:pt idx="1">
                  <c:v>5.2256</c:v>
                </c:pt>
                <c:pt idx="2">
                  <c:v>5.9362816000000009</c:v>
                </c:pt>
                <c:pt idx="3">
                  <c:v>6.7436158976000025</c:v>
                </c:pt>
                <c:pt idx="4">
                  <c:v>7.6607476596736026</c:v>
                </c:pt>
                <c:pt idx="5">
                  <c:v>8.7026093413892127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00D8-4A11-8DFB-88621E4F6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74080"/>
        <c:axId val="444874496"/>
        <c:extLst/>
      </c:scatterChart>
      <c:valAx>
        <c:axId val="444874080"/>
        <c:scaling>
          <c:orientation val="minMax"/>
          <c:max val="2024"/>
          <c:min val="2018"/>
        </c:scaling>
        <c:delete val="0"/>
        <c:axPos val="b"/>
        <c:majorGridlines>
          <c:spPr bwMode="auto"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crossBetween val="midCat"/>
      </c:valAx>
      <c:valAx>
        <c:axId val="444874496"/>
        <c:scaling>
          <c:orientation val="minMax"/>
          <c:max val="1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midCat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85830456840317"/>
          <c:y val="0.10491210862193551"/>
          <c:w val="0.25642094660164361"/>
          <c:h val="0.74086209685599891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1400" b="0" i="0" u="none" strike="noStrike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/>
              <a:t>Emissions de gaz à effets de serre des</a:t>
            </a:r>
            <a:r>
              <a:rPr lang="fr-FR" sz="1400" b="0" i="0" baseline="0"/>
              <a:t> centres de données (GtCO2e)</a:t>
            </a:r>
            <a:endParaRPr lang="fr-FR"/>
          </a:p>
          <a:p>
            <a:pPr marL="0" marR="0" lvl="0" indent="0" algn="ctr" defTabSz="91440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endParaRPr lang="fr-FR" sz="1400" b="0" i="0"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400" b="0" i="0" u="none" strike="noStrike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1363"/>
          <c:y val="8.6136000000000004E-2"/>
          <c:w val="0.81534499999999999"/>
          <c:h val="0.7534768015379848"/>
        </c:manualLayout>
      </c:layout>
      <c:scatterChart>
        <c:scatterStyle val="lineMarker"/>
        <c:varyColors val="0"/>
        <c:ser>
          <c:idx val="1"/>
          <c:order val="0"/>
          <c:tx>
            <c:strRef>
              <c:f>'Calculette GES à partir TWh'!$B$25</c:f>
              <c:strCache>
                <c:ptCount val="1"/>
                <c:pt idx="0">
                  <c:v>A partir de 1220 TWh et 312 gCO2e/kWh</c:v>
                </c:pt>
              </c:strCache>
            </c:strRef>
          </c:tx>
          <c:spPr bwMode="auto"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 bwMode="auto">
              <a:solidFill>
                <a:srgbClr val="0028DC"/>
              </a:solidFill>
              <a:ln w="9525">
                <a:noFill/>
              </a:ln>
              <a:effectLst/>
            </c:spPr>
          </c:marker>
          <c:xVal>
            <c:numRef>
              <c:f>'Calculette GES à partir TWh'!$C$24:$D$24</c:f>
              <c:numCache>
                <c:formatCode>_-* #,##0_-;\-* #,##0_-;_-* "-"??_-;_-@_-</c:formatCode>
                <c:ptCount val="2"/>
                <c:pt idx="0">
                  <c:v>2022</c:v>
                </c:pt>
                <c:pt idx="1">
                  <c:v>2030</c:v>
                </c:pt>
              </c:numCache>
            </c:numRef>
          </c:xVal>
          <c:yVal>
            <c:numRef>
              <c:f>'Calculette GES à partir TWh'!$C$25:$D$25</c:f>
              <c:numCache>
                <c:formatCode>_-* #,##0.000_-;\-* #,##0.000_-;_-* "-"??_-;_-@_-</c:formatCode>
                <c:ptCount val="2"/>
                <c:pt idx="0">
                  <c:v>0.28565999999999997</c:v>
                </c:pt>
                <c:pt idx="1">
                  <c:v>0.5142852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E2-4553-B66E-6BB87C06339C}"/>
            </c:ext>
          </c:extLst>
        </c:ser>
        <c:ser>
          <c:idx val="3"/>
          <c:order val="1"/>
          <c:tx>
            <c:strRef>
              <c:f>'Calculette GES à partir TWh'!$B$26</c:f>
              <c:strCache>
                <c:ptCount val="1"/>
                <c:pt idx="0">
                  <c:v>A partir de 1390 TWh et 460 gCO2e/kWh</c:v>
                </c:pt>
              </c:strCache>
            </c:strRef>
          </c:tx>
          <c:spPr bwMode="auto">
            <a:ln w="28575" cap="rnd">
              <a:solidFill>
                <a:srgbClr val="FF8200"/>
              </a:solidFill>
              <a:round/>
            </a:ln>
            <a:effectLst/>
          </c:spPr>
          <c:marker>
            <c:symbol val="square"/>
            <c:size val="7"/>
            <c:spPr bwMode="auto">
              <a:solidFill>
                <a:srgbClr val="FF8200"/>
              </a:solidFill>
              <a:ln w="9525">
                <a:noFill/>
              </a:ln>
              <a:effectLst/>
            </c:spPr>
          </c:marker>
          <c:xVal>
            <c:numRef>
              <c:f>'Calculette GES à partir TWh'!$C$24:$D$24</c:f>
              <c:numCache>
                <c:formatCode>_-* #,##0_-;\-* #,##0_-;_-* "-"??_-;_-@_-</c:formatCode>
                <c:ptCount val="2"/>
                <c:pt idx="0">
                  <c:v>2022</c:v>
                </c:pt>
                <c:pt idx="1">
                  <c:v>2030</c:v>
                </c:pt>
              </c:numCache>
            </c:numRef>
          </c:xVal>
          <c:yVal>
            <c:numRef>
              <c:f>'Calculette GES à partir TWh'!$C$26:$D$26</c:f>
              <c:numCache>
                <c:formatCode>_-* #,##0.000_-;\-* #,##0.000_-;_-* "-"??_-;_-@_-</c:formatCode>
                <c:ptCount val="2"/>
                <c:pt idx="0">
                  <c:v>0.28565999999999997</c:v>
                </c:pt>
                <c:pt idx="1">
                  <c:v>0.863811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E2-4553-B66E-6BB87C063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74080"/>
        <c:axId val="444874496"/>
      </c:scatterChart>
      <c:valAx>
        <c:axId val="44487408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crossBetween val="midCat"/>
      </c:valAx>
      <c:valAx>
        <c:axId val="444874496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0_-;\-* #,##0.00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midCat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49481</xdr:colOff>
      <xdr:row>54</xdr:row>
      <xdr:rowOff>49081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8F5607-C35C-483A-8940-46FFC1236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946321"/>
          <a:ext cx="6801799" cy="394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368300</xdr:colOff>
      <xdr:row>0</xdr:row>
      <xdr:rowOff>179918</xdr:rowOff>
    </xdr:from>
    <xdr:to>
      <xdr:col>24</xdr:col>
      <xdr:colOff>127000</xdr:colOff>
      <xdr:row>27</xdr:row>
      <xdr:rowOff>121708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117474</xdr:colOff>
      <xdr:row>0</xdr:row>
      <xdr:rowOff>142874</xdr:rowOff>
    </xdr:from>
    <xdr:to>
      <xdr:col>13</xdr:col>
      <xdr:colOff>201083</xdr:colOff>
      <xdr:row>41</xdr:row>
      <xdr:rowOff>4234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254000</xdr:colOff>
      <xdr:row>1</xdr:row>
      <xdr:rowOff>15875</xdr:rowOff>
    </xdr:from>
    <xdr:to>
      <xdr:col>37</xdr:col>
      <xdr:colOff>303742</xdr:colOff>
      <xdr:row>32</xdr:row>
      <xdr:rowOff>104775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4E4DDF7A-DDBE-4CE7-8BFD-966B1D317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455081</xdr:colOff>
      <xdr:row>12</xdr:row>
      <xdr:rowOff>89868</xdr:rowOff>
    </xdr:from>
    <xdr:to>
      <xdr:col>7</xdr:col>
      <xdr:colOff>329641</xdr:colOff>
      <xdr:row>14</xdr:row>
      <xdr:rowOff>7216</xdr:rowOff>
    </xdr:to>
    <xdr:sp macro="" textlink="">
      <xdr:nvSpPr>
        <xdr:cNvPr id="7" name="ZoneTexte 8">
          <a:extLst>
            <a:ext uri="{FF2B5EF4-FFF2-40B4-BE49-F238E27FC236}">
              <a16:creationId xmlns:a16="http://schemas.microsoft.com/office/drawing/2014/main" id="{5D98AD60-E0E1-43D4-972D-8A1002656BF0}"/>
            </a:ext>
          </a:extLst>
        </xdr:cNvPr>
        <xdr:cNvSpPr txBox="1"/>
      </xdr:nvSpPr>
      <xdr:spPr>
        <a:xfrm rot="19910057">
          <a:off x="1979081" y="2248868"/>
          <a:ext cx="3684560" cy="27718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>
              <a:solidFill>
                <a:srgbClr val="777777"/>
              </a:solidFill>
            </a:rPr>
            <a:t>Rapport provisoire – The Shift Project, 6 mars 2025</a:t>
          </a:r>
        </a:p>
      </xdr:txBody>
    </xdr:sp>
    <xdr:clientData/>
  </xdr:twoCellAnchor>
  <xdr:twoCellAnchor>
    <xdr:from>
      <xdr:col>37</xdr:col>
      <xdr:colOff>511175</xdr:colOff>
      <xdr:row>1</xdr:row>
      <xdr:rowOff>25400</xdr:rowOff>
    </xdr:from>
    <xdr:to>
      <xdr:col>48</xdr:col>
      <xdr:colOff>269875</xdr:colOff>
      <xdr:row>27</xdr:row>
      <xdr:rowOff>157690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53249A1-58DB-443F-970F-967483D46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0.14468</cdr:x>
      <cdr:y>0.34029</cdr:y>
    </cdr:from>
    <cdr:to>
      <cdr:x>0.63249</cdr:x>
      <cdr:y>0.38566</cdr:y>
    </cdr:to>
    <cdr:sp macro="" textlink="">
      <cdr:nvSpPr>
        <cdr:cNvPr id="3" name="ZoneTexte 8">
          <a:extLst xmlns:a="http://schemas.openxmlformats.org/drawingml/2006/main">
            <a:ext uri="{FF2B5EF4-FFF2-40B4-BE49-F238E27FC236}">
              <a16:creationId xmlns:a16="http://schemas.microsoft.com/office/drawing/2014/main" id="{5D98AD60-E0E1-43D4-972D-8A1002656BF0}"/>
            </a:ext>
          </a:extLst>
        </cdr:cNvPr>
        <cdr:cNvSpPr txBox="1"/>
      </cdr:nvSpPr>
      <cdr:spPr>
        <a:xfrm xmlns:a="http://schemas.openxmlformats.org/drawingml/2006/main" rot="19910057">
          <a:off x="1177781" y="1633218"/>
          <a:ext cx="3971115" cy="21775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dirty="0">
              <a:solidFill>
                <a:schemeClr val="bg1">
                  <a:lumMod val="50000"/>
                </a:schemeClr>
              </a:solidFill>
            </a:rPr>
            <a:t>Rapport provisoire – The Shift Project, 6 mars 2025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0.13783</cdr:x>
      <cdr:y>0.38924</cdr:y>
    </cdr:from>
    <cdr:to>
      <cdr:x>0.50792</cdr:x>
      <cdr:y>0.42719</cdr:y>
    </cdr:to>
    <cdr:sp macro="" textlink="">
      <cdr:nvSpPr>
        <cdr:cNvPr id="2" name="ZoneTexte 8">
          <a:extLst xmlns:a="http://schemas.openxmlformats.org/drawingml/2006/main">
            <a:ext uri="{FF2B5EF4-FFF2-40B4-BE49-F238E27FC236}">
              <a16:creationId xmlns:a16="http://schemas.microsoft.com/office/drawing/2014/main" id="{5D98AD60-E0E1-43D4-972D-8A1002656BF0}"/>
            </a:ext>
          </a:extLst>
        </cdr:cNvPr>
        <cdr:cNvSpPr txBox="1"/>
      </cdr:nvSpPr>
      <cdr:spPr>
        <a:xfrm xmlns:a="http://schemas.openxmlformats.org/drawingml/2006/main" rot="19910057">
          <a:off x="1372204" y="2840810"/>
          <a:ext cx="3684560" cy="2769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dirty="0">
              <a:solidFill>
                <a:schemeClr val="bg1">
                  <a:lumMod val="50000"/>
                </a:schemeClr>
              </a:solidFill>
            </a:rPr>
            <a:t>Rapport provisoire – The Shift Project, 6 mars 2025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0.13354</cdr:x>
      <cdr:y>0.30101</cdr:y>
    </cdr:from>
    <cdr:to>
      <cdr:x>0.62135</cdr:x>
      <cdr:y>0.34638</cdr:y>
    </cdr:to>
    <cdr:sp macro="" textlink="">
      <cdr:nvSpPr>
        <cdr:cNvPr id="3" name="ZoneTexte 8">
          <a:extLst xmlns:a="http://schemas.openxmlformats.org/drawingml/2006/main">
            <a:ext uri="{FF2B5EF4-FFF2-40B4-BE49-F238E27FC236}">
              <a16:creationId xmlns:a16="http://schemas.microsoft.com/office/drawing/2014/main" id="{5D98AD60-E0E1-43D4-972D-8A1002656BF0}"/>
            </a:ext>
          </a:extLst>
        </cdr:cNvPr>
        <cdr:cNvSpPr txBox="1"/>
      </cdr:nvSpPr>
      <cdr:spPr>
        <a:xfrm xmlns:a="http://schemas.openxmlformats.org/drawingml/2006/main" rot="20543809">
          <a:off x="1087081" y="1459712"/>
          <a:ext cx="3971115" cy="22001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dirty="0">
              <a:solidFill>
                <a:schemeClr val="bg1">
                  <a:lumMod val="50000"/>
                </a:schemeClr>
              </a:solidFill>
            </a:rPr>
            <a:t>Rapport provisoire – The Shift Project, 6 mars 2025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419100</xdr:colOff>
      <xdr:row>9</xdr:row>
      <xdr:rowOff>25400</xdr:rowOff>
    </xdr:from>
    <xdr:to>
      <xdr:col>21</xdr:col>
      <xdr:colOff>597143</xdr:colOff>
      <xdr:row>32</xdr:row>
      <xdr:rowOff>107262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849100" y="1358900"/>
          <a:ext cx="4750043" cy="4463362"/>
        </a:xfrm>
        <a:prstGeom prst="rect">
          <a:avLst/>
        </a:prstGeom>
      </xdr:spPr>
    </xdr:pic>
    <xdr:clientData/>
  </xdr:twoCellAnchor>
  <xdr:twoCellAnchor editAs="oneCell">
    <xdr:from>
      <xdr:col>9</xdr:col>
      <xdr:colOff>509815</xdr:colOff>
      <xdr:row>20</xdr:row>
      <xdr:rowOff>150585</xdr:rowOff>
    </xdr:from>
    <xdr:to>
      <xdr:col>15</xdr:col>
      <xdr:colOff>482601</xdr:colOff>
      <xdr:row>46</xdr:row>
      <xdr:rowOff>53759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r="7653"/>
        <a:stretch/>
      </xdr:blipFill>
      <xdr:spPr bwMode="auto">
        <a:xfrm>
          <a:off x="7367815" y="3579585"/>
          <a:ext cx="4544786" cy="4856173"/>
        </a:xfrm>
        <a:prstGeom prst="rect">
          <a:avLst/>
        </a:prstGeom>
      </xdr:spPr>
    </xdr:pic>
    <xdr:clientData/>
  </xdr:twoCellAnchor>
  <xdr:twoCellAnchor editAs="oneCell">
    <xdr:from>
      <xdr:col>9</xdr:col>
      <xdr:colOff>531586</xdr:colOff>
      <xdr:row>2</xdr:row>
      <xdr:rowOff>0</xdr:rowOff>
    </xdr:from>
    <xdr:to>
      <xdr:col>15</xdr:col>
      <xdr:colOff>487370</xdr:colOff>
      <xdr:row>20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7389586" y="0"/>
          <a:ext cx="4527784" cy="35051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8</xdr:col>
      <xdr:colOff>215900</xdr:colOff>
      <xdr:row>24</xdr:row>
      <xdr:rowOff>73869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524000" y="190500"/>
          <a:ext cx="4787900" cy="407436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27</xdr:row>
      <xdr:rowOff>44450</xdr:rowOff>
    </xdr:from>
    <xdr:to>
      <xdr:col>8</xdr:col>
      <xdr:colOff>101839</xdr:colOff>
      <xdr:row>45</xdr:row>
      <xdr:rowOff>101778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1543050" y="4806950"/>
          <a:ext cx="4654789" cy="34863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716642</xdr:colOff>
      <xdr:row>27</xdr:row>
      <xdr:rowOff>63501</xdr:rowOff>
    </xdr:from>
    <xdr:to>
      <xdr:col>6</xdr:col>
      <xdr:colOff>290135</xdr:colOff>
      <xdr:row>53</xdr:row>
      <xdr:rowOff>145143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FD3513E-EC3F-4963-BCA2-6CE9AECAC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68530</xdr:rowOff>
    </xdr:from>
    <xdr:to>
      <xdr:col>10</xdr:col>
      <xdr:colOff>356870</xdr:colOff>
      <xdr:row>15</xdr:row>
      <xdr:rowOff>36287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F3982286-C653-4FC2-8687-F55F59A00F05}"/>
            </a:ext>
          </a:extLst>
        </xdr:cNvPr>
        <xdr:cNvSpPr txBox="1"/>
      </xdr:nvSpPr>
      <xdr:spPr>
        <a:xfrm rot="20549809">
          <a:off x="0" y="1687780"/>
          <a:ext cx="11384703" cy="1047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4400" b="1" i="1">
              <a:solidFill>
                <a:srgbClr val="777777"/>
              </a:solidFill>
            </a:rPr>
            <a:t>VERSION PROVISOIRE - Rapport</a:t>
          </a:r>
          <a:r>
            <a:rPr lang="fr-FR" sz="4400" b="1" i="1" baseline="0">
              <a:solidFill>
                <a:srgbClr val="777777"/>
              </a:solidFill>
            </a:rPr>
            <a:t> intermédiaire</a:t>
          </a:r>
          <a:endParaRPr lang="fr-FR" sz="4400" b="1" i="1">
            <a:solidFill>
              <a:srgbClr val="777777"/>
            </a:solidFill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0.23073</cdr:x>
      <cdr:y>0.28143</cdr:y>
    </cdr:from>
    <cdr:to>
      <cdr:x>0.68055</cdr:x>
      <cdr:y>0.32732</cdr:y>
    </cdr:to>
    <cdr:sp macro="" textlink="">
      <cdr:nvSpPr>
        <cdr:cNvPr id="3" name="ZoneTexte 8">
          <a:extLst xmlns:a="http://schemas.openxmlformats.org/drawingml/2006/main">
            <a:ext uri="{FF2B5EF4-FFF2-40B4-BE49-F238E27FC236}">
              <a16:creationId xmlns:a16="http://schemas.microsoft.com/office/drawing/2014/main" id="{5D98AD60-E0E1-43D4-972D-8A1002656BF0}"/>
            </a:ext>
          </a:extLst>
        </cdr:cNvPr>
        <cdr:cNvSpPr txBox="1"/>
      </cdr:nvSpPr>
      <cdr:spPr>
        <a:xfrm xmlns:a="http://schemas.openxmlformats.org/drawingml/2006/main" rot="20230856">
          <a:off x="1742796" y="1339446"/>
          <a:ext cx="3397598" cy="2184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dirty="0">
              <a:solidFill>
                <a:schemeClr val="bg1">
                  <a:lumMod val="50000"/>
                </a:schemeClr>
              </a:solidFill>
            </a:rPr>
            <a:t>Rapport provisoire – The Shift Project, 6 mars 2025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1830917</xdr:colOff>
      <xdr:row>10</xdr:row>
      <xdr:rowOff>201084</xdr:rowOff>
    </xdr:from>
    <xdr:to>
      <xdr:col>11</xdr:col>
      <xdr:colOff>49953</xdr:colOff>
      <xdr:row>13</xdr:row>
      <xdr:rowOff>306424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C1A35E1-D837-4DD1-9413-965432513A57}"/>
            </a:ext>
          </a:extLst>
        </xdr:cNvPr>
        <xdr:cNvSpPr txBox="1"/>
      </xdr:nvSpPr>
      <xdr:spPr>
        <a:xfrm rot="20549809">
          <a:off x="2190750" y="2370667"/>
          <a:ext cx="11384703" cy="1047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4400" b="1" i="1">
              <a:solidFill>
                <a:srgbClr val="777777"/>
              </a:solidFill>
            </a:rPr>
            <a:t>VERSION PROVISOIRE - Rapport</a:t>
          </a:r>
          <a:r>
            <a:rPr lang="fr-FR" sz="4400" b="1" i="1" baseline="0">
              <a:solidFill>
                <a:srgbClr val="777777"/>
              </a:solidFill>
            </a:rPr>
            <a:t> intermédiaire</a:t>
          </a:r>
          <a:endParaRPr lang="fr-FR" sz="4400" b="1" i="1">
            <a:solidFill>
              <a:srgbClr val="777777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TSP 2021">
      <a:dk1>
        <a:srgbClr val="00005A"/>
      </a:dk1>
      <a:lt1>
        <a:srgbClr val="00008E"/>
      </a:lt1>
      <a:dk2>
        <a:srgbClr val="0028DC"/>
      </a:dk2>
      <a:lt2>
        <a:srgbClr val="0072FF"/>
      </a:lt2>
      <a:accent1>
        <a:srgbClr val="00CAFE"/>
      </a:accent1>
      <a:accent2>
        <a:srgbClr val="B0EBFF"/>
      </a:accent2>
      <a:accent3>
        <a:srgbClr val="FFF1B7"/>
      </a:accent3>
      <a:accent4>
        <a:srgbClr val="FFDC23"/>
      </a:accent4>
      <a:accent5>
        <a:srgbClr val="FAB758"/>
      </a:accent5>
      <a:accent6>
        <a:srgbClr val="FF8200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TSP">
    <a:dk1>
      <a:srgbClr val="000000"/>
    </a:dk1>
    <a:lt1>
      <a:srgbClr val="FFFFFF"/>
    </a:lt1>
    <a:dk2>
      <a:srgbClr val="000000"/>
    </a:dk2>
    <a:lt2>
      <a:srgbClr val="FFFFFF"/>
    </a:lt2>
    <a:accent1>
      <a:srgbClr val="00005A"/>
    </a:accent1>
    <a:accent2>
      <a:srgbClr val="0028DB"/>
    </a:accent2>
    <a:accent3>
      <a:srgbClr val="FF8200"/>
    </a:accent3>
    <a:accent4>
      <a:srgbClr val="FFDB23"/>
    </a:accent4>
    <a:accent5>
      <a:srgbClr val="ACACAC"/>
    </a:accent5>
    <a:accent6>
      <a:srgbClr val="737373"/>
    </a:accent6>
    <a:hlink>
      <a:srgbClr val="0099FF"/>
    </a:hlink>
    <a:folHlink>
      <a:srgbClr val="868686"/>
    </a:folHlink>
  </a:clrScheme>
  <a:fontScheme name="Office">
    <a:majorFont>
      <a:latin typeface="Calibri Light"/>
      <a:ea typeface="Arial"/>
      <a:cs typeface="Arial"/>
    </a:majorFont>
    <a:minorFont>
      <a:latin typeface="Calibri"/>
      <a:ea typeface="Arial"/>
      <a:cs typeface="Arial"/>
    </a:minorFont>
  </a:fontScheme>
  <a:fmtScheme name="Office">
    <a:fillStyleLst>
      <a:solidFill>
        <a:schemeClr val="phClr"/>
      </a:solidFill>
      <a:gradFill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TSP">
    <a:dk1>
      <a:srgbClr val="000000"/>
    </a:dk1>
    <a:lt1>
      <a:srgbClr val="FFFFFF"/>
    </a:lt1>
    <a:dk2>
      <a:srgbClr val="000000"/>
    </a:dk2>
    <a:lt2>
      <a:srgbClr val="FFFFFF"/>
    </a:lt2>
    <a:accent1>
      <a:srgbClr val="00005A"/>
    </a:accent1>
    <a:accent2>
      <a:srgbClr val="0028DB"/>
    </a:accent2>
    <a:accent3>
      <a:srgbClr val="FF8200"/>
    </a:accent3>
    <a:accent4>
      <a:srgbClr val="FFDB23"/>
    </a:accent4>
    <a:accent5>
      <a:srgbClr val="ACACAC"/>
    </a:accent5>
    <a:accent6>
      <a:srgbClr val="737373"/>
    </a:accent6>
    <a:hlink>
      <a:srgbClr val="0099FF"/>
    </a:hlink>
    <a:folHlink>
      <a:srgbClr val="868686"/>
    </a:folHlink>
  </a:clrScheme>
  <a:fontScheme name="Office">
    <a:majorFont>
      <a:latin typeface="Calibri Light"/>
      <a:ea typeface="Arial"/>
      <a:cs typeface="Arial"/>
    </a:majorFont>
    <a:minorFont>
      <a:latin typeface="Calibri"/>
      <a:ea typeface="Arial"/>
      <a:cs typeface="Arial"/>
    </a:minorFont>
  </a:fontScheme>
  <a:fmtScheme name="Office">
    <a:fillStyleLst>
      <a:solidFill>
        <a:schemeClr val="phClr"/>
      </a:solidFill>
      <a:gradFill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TSP">
    <a:dk1>
      <a:srgbClr val="000000"/>
    </a:dk1>
    <a:lt1>
      <a:srgbClr val="FFFFFF"/>
    </a:lt1>
    <a:dk2>
      <a:srgbClr val="000000"/>
    </a:dk2>
    <a:lt2>
      <a:srgbClr val="FFFFFF"/>
    </a:lt2>
    <a:accent1>
      <a:srgbClr val="00005A"/>
    </a:accent1>
    <a:accent2>
      <a:srgbClr val="0028DB"/>
    </a:accent2>
    <a:accent3>
      <a:srgbClr val="FF8200"/>
    </a:accent3>
    <a:accent4>
      <a:srgbClr val="FFDB23"/>
    </a:accent4>
    <a:accent5>
      <a:srgbClr val="ACACAC"/>
    </a:accent5>
    <a:accent6>
      <a:srgbClr val="737373"/>
    </a:accent6>
    <a:hlink>
      <a:srgbClr val="0099FF"/>
    </a:hlink>
    <a:folHlink>
      <a:srgbClr val="868686"/>
    </a:folHlink>
  </a:clrScheme>
  <a:fontScheme name="Office">
    <a:majorFont>
      <a:latin typeface="Calibri Light"/>
      <a:ea typeface="Arial"/>
      <a:cs typeface="Arial"/>
    </a:majorFont>
    <a:minorFont>
      <a:latin typeface="Calibri"/>
      <a:ea typeface="Arial"/>
      <a:cs typeface="Arial"/>
    </a:minorFont>
  </a:fontScheme>
  <a:fmtScheme name="Office">
    <a:fillStyleLst>
      <a:solidFill>
        <a:schemeClr val="phClr"/>
      </a:solidFill>
      <a:gradFill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TSP">
    <a:dk1>
      <a:srgbClr val="000000"/>
    </a:dk1>
    <a:lt1>
      <a:srgbClr val="FFFFFF"/>
    </a:lt1>
    <a:dk2>
      <a:srgbClr val="000000"/>
    </a:dk2>
    <a:lt2>
      <a:srgbClr val="FFFFFF"/>
    </a:lt2>
    <a:accent1>
      <a:srgbClr val="00005A"/>
    </a:accent1>
    <a:accent2>
      <a:srgbClr val="0028DB"/>
    </a:accent2>
    <a:accent3>
      <a:srgbClr val="FF8200"/>
    </a:accent3>
    <a:accent4>
      <a:srgbClr val="FFDB23"/>
    </a:accent4>
    <a:accent5>
      <a:srgbClr val="ACACAC"/>
    </a:accent5>
    <a:accent6>
      <a:srgbClr val="737373"/>
    </a:accent6>
    <a:hlink>
      <a:srgbClr val="0099FF"/>
    </a:hlink>
    <a:folHlink>
      <a:srgbClr val="868686"/>
    </a:folHlink>
  </a:clrScheme>
  <a:fontScheme name="Office">
    <a:majorFont>
      <a:latin typeface="Calibri Light"/>
      <a:ea typeface="Arial"/>
      <a:cs typeface="Arial"/>
    </a:majorFont>
    <a:minorFont>
      <a:latin typeface="Calibri"/>
      <a:ea typeface="Arial"/>
      <a:cs typeface="Arial"/>
    </a:minorFont>
  </a:fontScheme>
  <a:fmtScheme name="Office">
    <a:fillStyleLst>
      <a:solidFill>
        <a:schemeClr val="phClr"/>
      </a:solidFill>
      <a:gradFill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TSP">
    <a:dk1>
      <a:srgbClr val="000000"/>
    </a:dk1>
    <a:lt1>
      <a:srgbClr val="FFFFFF"/>
    </a:lt1>
    <a:dk2>
      <a:srgbClr val="000000"/>
    </a:dk2>
    <a:lt2>
      <a:srgbClr val="FFFFFF"/>
    </a:lt2>
    <a:accent1>
      <a:srgbClr val="00005A"/>
    </a:accent1>
    <a:accent2>
      <a:srgbClr val="0028DB"/>
    </a:accent2>
    <a:accent3>
      <a:srgbClr val="FF8200"/>
    </a:accent3>
    <a:accent4>
      <a:srgbClr val="FFDB23"/>
    </a:accent4>
    <a:accent5>
      <a:srgbClr val="ACACAC"/>
    </a:accent5>
    <a:accent6>
      <a:srgbClr val="737373"/>
    </a:accent6>
    <a:hlink>
      <a:srgbClr val="0099FF"/>
    </a:hlink>
    <a:folHlink>
      <a:srgbClr val="868686"/>
    </a:folHlink>
  </a:clrScheme>
  <a:fontScheme name="Office">
    <a:majorFont>
      <a:latin typeface="Calibri Light"/>
      <a:ea typeface="Arial"/>
      <a:cs typeface="Arial"/>
    </a:majorFont>
    <a:minorFont>
      <a:latin typeface="Calibri"/>
      <a:ea typeface="Arial"/>
      <a:cs typeface="Arial"/>
    </a:minorFont>
  </a:fontScheme>
  <a:fmtScheme name="Office">
    <a:fillStyleLst>
      <a:solidFill>
        <a:schemeClr val="phClr"/>
      </a:solidFill>
      <a:gradFill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9"/>
  <sheetViews>
    <sheetView zoomScale="80" workbookViewId="0">
      <selection activeCell="B2" sqref="B2"/>
    </sheetView>
  </sheetViews>
  <sheetFormatPr baseColWidth="10" defaultRowHeight="14.5" x14ac:dyDescent="0.35"/>
  <cols>
    <col min="2" max="2" width="48.7265625" customWidth="1"/>
    <col min="11" max="11" width="13.453125" customWidth="1"/>
  </cols>
  <sheetData>
    <row r="2" spans="2:14" x14ac:dyDescent="0.35">
      <c r="B2" s="1" t="s">
        <v>0</v>
      </c>
      <c r="C2" s="2">
        <v>2013</v>
      </c>
      <c r="D2" s="3">
        <v>2014</v>
      </c>
      <c r="E2" s="3">
        <v>2015</v>
      </c>
      <c r="F2" s="3">
        <v>2016</v>
      </c>
      <c r="G2" s="3">
        <v>2017</v>
      </c>
      <c r="H2" s="3">
        <v>2018</v>
      </c>
      <c r="I2" s="4">
        <v>2019</v>
      </c>
      <c r="K2" s="5" t="s">
        <v>1</v>
      </c>
      <c r="L2" s="6" t="s">
        <v>2</v>
      </c>
    </row>
    <row r="3" spans="2:14" x14ac:dyDescent="0.35">
      <c r="B3" s="7" t="s">
        <v>3</v>
      </c>
      <c r="C3" s="8">
        <v>222.36809958605352</v>
      </c>
      <c r="D3" s="9">
        <v>237.2358294753632</v>
      </c>
      <c r="E3" s="9">
        <v>275.74329831177056</v>
      </c>
      <c r="F3" s="9">
        <v>332.22558769982669</v>
      </c>
      <c r="G3" s="9">
        <v>378.6253173417677</v>
      </c>
      <c r="H3" s="9">
        <v>409.52574638590909</v>
      </c>
      <c r="I3" s="10">
        <v>420.59296344633037</v>
      </c>
      <c r="L3" s="6" t="s">
        <v>4</v>
      </c>
      <c r="M3" s="11"/>
      <c r="N3" s="11"/>
    </row>
    <row r="4" spans="2:14" x14ac:dyDescent="0.35">
      <c r="B4" s="12"/>
      <c r="C4" s="11"/>
      <c r="D4" s="11"/>
      <c r="E4" s="11"/>
      <c r="F4" s="11"/>
      <c r="G4" s="11"/>
      <c r="H4" s="11"/>
      <c r="I4" s="11"/>
      <c r="L4" s="6" t="s">
        <v>5</v>
      </c>
      <c r="M4" s="11"/>
      <c r="N4" s="11"/>
    </row>
    <row r="5" spans="2:14" x14ac:dyDescent="0.35">
      <c r="B5" s="1" t="s">
        <v>6</v>
      </c>
      <c r="C5" s="2">
        <v>2019</v>
      </c>
      <c r="D5" s="3">
        <v>2020</v>
      </c>
      <c r="E5" s="3">
        <v>2021</v>
      </c>
      <c r="F5" s="3">
        <v>2022</v>
      </c>
      <c r="G5" s="3">
        <v>2023</v>
      </c>
      <c r="H5" s="3">
        <v>2024</v>
      </c>
      <c r="I5" s="4">
        <v>2025</v>
      </c>
      <c r="L5" s="6" t="s">
        <v>7</v>
      </c>
    </row>
    <row r="6" spans="2:14" x14ac:dyDescent="0.35">
      <c r="B6" s="13" t="s">
        <v>8</v>
      </c>
      <c r="C6" s="14">
        <v>421</v>
      </c>
      <c r="D6" s="14">
        <v>437.57893029199954</v>
      </c>
      <c r="E6" s="14">
        <v>456.39789274937692</v>
      </c>
      <c r="F6" s="14">
        <v>477.32345650938862</v>
      </c>
      <c r="G6" s="14">
        <v>500.67194238789421</v>
      </c>
      <c r="H6" s="14">
        <v>526.80908850383616</v>
      </c>
      <c r="I6" s="14">
        <v>556.15780462971895</v>
      </c>
      <c r="L6" s="6" t="s">
        <v>9</v>
      </c>
    </row>
    <row r="7" spans="2:14" x14ac:dyDescent="0.35">
      <c r="B7" s="15" t="s">
        <v>10</v>
      </c>
      <c r="C7" s="14">
        <v>421</v>
      </c>
      <c r="D7" s="14">
        <v>449.53914475945686</v>
      </c>
      <c r="E7" s="14">
        <v>481.76971956183957</v>
      </c>
      <c r="F7" s="14">
        <v>517.81647383411655</v>
      </c>
      <c r="G7" s="14">
        <v>558.30918085575922</v>
      </c>
      <c r="H7" s="14">
        <v>603.99427843286298</v>
      </c>
      <c r="I7" s="14">
        <v>655.75713477446516</v>
      </c>
      <c r="L7" s="6" t="s">
        <v>11</v>
      </c>
    </row>
    <row r="8" spans="2:14" x14ac:dyDescent="0.35">
      <c r="B8" s="16" t="s">
        <v>12</v>
      </c>
      <c r="C8" s="14">
        <v>421</v>
      </c>
      <c r="D8" s="14">
        <v>458.60838945871598</v>
      </c>
      <c r="E8" s="14">
        <v>501.18727734610525</v>
      </c>
      <c r="F8" s="14">
        <v>549.05010974737434</v>
      </c>
      <c r="G8" s="14">
        <v>603.05103224291258</v>
      </c>
      <c r="H8" s="14">
        <v>664.20439628497707</v>
      </c>
      <c r="I8" s="17">
        <v>733.71670333378825</v>
      </c>
      <c r="L8" s="20" t="s">
        <v>213</v>
      </c>
    </row>
    <row r="9" spans="2:14" x14ac:dyDescent="0.35">
      <c r="B9" s="18" t="s">
        <v>13</v>
      </c>
      <c r="C9" s="8">
        <v>421</v>
      </c>
      <c r="D9" s="8">
        <v>402.33421740918772</v>
      </c>
      <c r="E9" s="8">
        <v>385.47339098053061</v>
      </c>
      <c r="F9" s="8">
        <v>369.93823708867239</v>
      </c>
      <c r="G9" s="8">
        <v>355.66137571941749</v>
      </c>
      <c r="H9" s="8">
        <v>342.58002073349775</v>
      </c>
      <c r="I9" s="19">
        <v>330.63572404276869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"/>
  <sheetViews>
    <sheetView zoomScale="80" workbookViewId="0">
      <selection activeCell="B2" sqref="B2"/>
    </sheetView>
  </sheetViews>
  <sheetFormatPr baseColWidth="10" defaultRowHeight="14.5" x14ac:dyDescent="0.35"/>
  <cols>
    <col min="2" max="2" width="45.453125" customWidth="1"/>
    <col min="9" max="10" width="14" customWidth="1"/>
  </cols>
  <sheetData>
    <row r="2" spans="2:10" x14ac:dyDescent="0.35">
      <c r="B2" s="1" t="s">
        <v>0</v>
      </c>
      <c r="C2" s="2">
        <v>2017</v>
      </c>
      <c r="D2" s="3">
        <v>2022</v>
      </c>
      <c r="E2" s="4">
        <v>2030</v>
      </c>
      <c r="I2" s="5" t="s">
        <v>1</v>
      </c>
      <c r="J2" s="6" t="s">
        <v>2</v>
      </c>
    </row>
    <row r="3" spans="2:10" x14ac:dyDescent="0.35">
      <c r="B3" s="7" t="s">
        <v>14</v>
      </c>
      <c r="C3" s="8">
        <v>350</v>
      </c>
      <c r="D3" s="9">
        <f>1.63/3.25*1000</f>
        <v>501.53846153846149</v>
      </c>
      <c r="E3" s="10">
        <f>2.86/3.25*1000</f>
        <v>880</v>
      </c>
      <c r="J3" s="20" t="s">
        <v>15</v>
      </c>
    </row>
    <row r="4" spans="2:10" x14ac:dyDescent="0.35">
      <c r="J4" s="6" t="s">
        <v>5</v>
      </c>
    </row>
    <row r="5" spans="2:10" x14ac:dyDescent="0.35">
      <c r="B5" s="1" t="s">
        <v>0</v>
      </c>
      <c r="C5" s="2">
        <v>2013</v>
      </c>
      <c r="D5" s="3">
        <v>2014</v>
      </c>
      <c r="E5" s="3">
        <v>2015</v>
      </c>
      <c r="F5" s="3">
        <v>2016</v>
      </c>
      <c r="G5" s="4">
        <v>2017</v>
      </c>
      <c r="J5" s="6" t="s">
        <v>16</v>
      </c>
    </row>
    <row r="6" spans="2:10" x14ac:dyDescent="0.35">
      <c r="B6" s="21" t="s">
        <v>14</v>
      </c>
      <c r="C6" s="8">
        <v>260</v>
      </c>
      <c r="D6" s="9">
        <v>275</v>
      </c>
      <c r="E6" s="9">
        <v>290</v>
      </c>
      <c r="F6" s="9">
        <v>320</v>
      </c>
      <c r="G6" s="10">
        <v>350</v>
      </c>
      <c r="J6" s="6" t="s">
        <v>17</v>
      </c>
    </row>
    <row r="7" spans="2:10" x14ac:dyDescent="0.35">
      <c r="B7" s="22"/>
      <c r="J7" s="6" t="s">
        <v>18</v>
      </c>
    </row>
    <row r="8" spans="2:10" x14ac:dyDescent="0.35">
      <c r="B8" s="1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8"/>
  <sheetViews>
    <sheetView zoomScale="80" zoomScaleNormal="80" workbookViewId="0">
      <selection activeCell="B2" sqref="B2"/>
    </sheetView>
  </sheetViews>
  <sheetFormatPr baseColWidth="10" defaultRowHeight="14.5" x14ac:dyDescent="0.35"/>
  <cols>
    <col min="2" max="2" width="45.453125" customWidth="1"/>
    <col min="10" max="10" width="14.453125" customWidth="1"/>
  </cols>
  <sheetData>
    <row r="2" spans="2:11" x14ac:dyDescent="0.35">
      <c r="B2" s="1" t="s">
        <v>0</v>
      </c>
      <c r="C2" s="23">
        <v>2018</v>
      </c>
      <c r="D2" s="3">
        <v>2019</v>
      </c>
      <c r="E2" s="3">
        <v>2020</v>
      </c>
      <c r="F2" s="3">
        <v>2021</v>
      </c>
      <c r="G2" s="3">
        <v>2022</v>
      </c>
      <c r="H2" s="4">
        <v>2023</v>
      </c>
      <c r="J2" s="5" t="s">
        <v>1</v>
      </c>
      <c r="K2" s="20" t="s">
        <v>19</v>
      </c>
    </row>
    <row r="3" spans="2:11" x14ac:dyDescent="0.35">
      <c r="B3" s="7" t="s">
        <v>20</v>
      </c>
      <c r="C3" s="24">
        <v>161</v>
      </c>
      <c r="D3" s="8">
        <v>178</v>
      </c>
      <c r="E3" s="8">
        <v>197</v>
      </c>
      <c r="F3" s="8">
        <v>218</v>
      </c>
      <c r="G3" s="8">
        <v>241</v>
      </c>
      <c r="H3" s="19">
        <v>267</v>
      </c>
      <c r="K3" s="25" t="s">
        <v>21</v>
      </c>
    </row>
    <row r="4" spans="2:11" x14ac:dyDescent="0.35">
      <c r="K4" s="6" t="s">
        <v>5</v>
      </c>
    </row>
    <row r="5" spans="2:11" x14ac:dyDescent="0.35">
      <c r="K5" s="6" t="s">
        <v>7</v>
      </c>
    </row>
    <row r="6" spans="2:11" x14ac:dyDescent="0.35">
      <c r="K6" s="6"/>
    </row>
    <row r="7" spans="2:11" x14ac:dyDescent="0.35">
      <c r="K7" s="6"/>
    </row>
    <row r="8" spans="2:11" x14ac:dyDescent="0.35">
      <c r="K8" s="25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2"/>
  <sheetViews>
    <sheetView zoomScale="80" zoomScaleNormal="80" workbookViewId="0">
      <selection activeCell="B2" sqref="B2"/>
    </sheetView>
  </sheetViews>
  <sheetFormatPr baseColWidth="10" defaultRowHeight="14.5" x14ac:dyDescent="0.35"/>
  <cols>
    <col min="2" max="2" width="34.81640625" customWidth="1"/>
    <col min="11" max="11" width="16.453125" customWidth="1"/>
  </cols>
  <sheetData>
    <row r="2" spans="2:12" x14ac:dyDescent="0.35">
      <c r="B2" s="1" t="s">
        <v>35</v>
      </c>
      <c r="C2" s="23">
        <v>2017</v>
      </c>
      <c r="D2" s="3">
        <v>2018</v>
      </c>
      <c r="E2" s="3">
        <v>2019</v>
      </c>
      <c r="F2" s="3">
        <v>2020</v>
      </c>
      <c r="G2" s="4">
        <v>2021</v>
      </c>
      <c r="K2" s="5" t="s">
        <v>1</v>
      </c>
      <c r="L2" s="20" t="s">
        <v>19</v>
      </c>
    </row>
    <row r="3" spans="2:12" x14ac:dyDescent="0.35">
      <c r="B3" s="7" t="s">
        <v>36</v>
      </c>
      <c r="C3" s="24">
        <v>81.02</v>
      </c>
      <c r="D3" s="8">
        <v>81.3</v>
      </c>
      <c r="E3" s="8">
        <v>88.86</v>
      </c>
      <c r="F3" s="8">
        <v>114.03999999999999</v>
      </c>
      <c r="G3" s="19">
        <v>135.01</v>
      </c>
      <c r="L3" s="25" t="s">
        <v>21</v>
      </c>
    </row>
    <row r="4" spans="2:12" x14ac:dyDescent="0.35">
      <c r="L4" s="6" t="s">
        <v>37</v>
      </c>
    </row>
    <row r="5" spans="2:12" ht="21" x14ac:dyDescent="0.35">
      <c r="B5" s="1" t="s">
        <v>38</v>
      </c>
      <c r="C5" s="23">
        <v>2010</v>
      </c>
      <c r="D5" s="3">
        <v>2020</v>
      </c>
      <c r="E5" s="4">
        <v>2050</v>
      </c>
      <c r="F5" s="32" t="s">
        <v>39</v>
      </c>
      <c r="G5" s="32" t="s">
        <v>40</v>
      </c>
      <c r="H5" s="32" t="s">
        <v>39</v>
      </c>
      <c r="I5" s="32" t="s">
        <v>40</v>
      </c>
      <c r="L5" s="6"/>
    </row>
    <row r="6" spans="2:12" x14ac:dyDescent="0.35">
      <c r="B6" s="7" t="s">
        <v>36</v>
      </c>
      <c r="C6" s="24">
        <v>0.9</v>
      </c>
      <c r="D6" s="8">
        <v>0.6</v>
      </c>
      <c r="E6" s="19">
        <v>0.2</v>
      </c>
      <c r="F6" s="33">
        <f>(D6-C6)/(D5-C5)</f>
        <v>-3.0000000000000006E-2</v>
      </c>
      <c r="G6" s="34">
        <f>INTERCEPT(C6:D6,C5:D5)</f>
        <v>61.20000000000001</v>
      </c>
      <c r="H6" s="34">
        <f>(E6-D6)/(E5-D5)</f>
        <v>-1.3333333333333332E-2</v>
      </c>
      <c r="I6" s="34">
        <f>INTERCEPT(D6:E6,D5:E5)</f>
        <v>27.533333333333328</v>
      </c>
      <c r="J6" s="35"/>
      <c r="L6" s="6"/>
    </row>
    <row r="8" spans="2:12" ht="21" x14ac:dyDescent="0.35">
      <c r="B8" s="1" t="s">
        <v>38</v>
      </c>
      <c r="C8" s="23">
        <v>2017</v>
      </c>
      <c r="D8" s="3">
        <v>2018</v>
      </c>
      <c r="E8" s="3">
        <v>2019</v>
      </c>
      <c r="F8" s="3">
        <v>2020</v>
      </c>
      <c r="G8" s="4">
        <v>2021</v>
      </c>
      <c r="L8" s="25"/>
    </row>
    <row r="9" spans="2:12" x14ac:dyDescent="0.35">
      <c r="B9" s="7" t="s">
        <v>36</v>
      </c>
      <c r="C9" s="24">
        <f>$G$6+$F$6*C8</f>
        <v>0.68999999999999773</v>
      </c>
      <c r="D9" s="8">
        <f>$G$6+$F$6*D8</f>
        <v>0.65999999999999659</v>
      </c>
      <c r="E9" s="8">
        <f>$G$6+$F$6*E8</f>
        <v>0.62999999999999545</v>
      </c>
      <c r="F9" s="8">
        <f>$G$6+$F$6*F8</f>
        <v>0.60000000000000142</v>
      </c>
      <c r="G9" s="19">
        <f>H6*G8+I6</f>
        <v>0.58666666666666245</v>
      </c>
    </row>
    <row r="11" spans="2:12" ht="21" x14ac:dyDescent="0.35">
      <c r="B11" s="1" t="s">
        <v>0</v>
      </c>
      <c r="C11" s="23">
        <v>2017</v>
      </c>
      <c r="D11" s="3">
        <v>2018</v>
      </c>
      <c r="E11" s="3">
        <v>2019</v>
      </c>
      <c r="F11" s="3">
        <v>2020</v>
      </c>
      <c r="G11" s="4">
        <v>2021</v>
      </c>
    </row>
    <row r="12" spans="2:12" x14ac:dyDescent="0.35">
      <c r="B12" s="7" t="s">
        <v>41</v>
      </c>
      <c r="C12" s="24">
        <f>C3/C9</f>
        <v>117.42028985507285</v>
      </c>
      <c r="D12" s="8">
        <f>D3/D9</f>
        <v>123.18181818181881</v>
      </c>
      <c r="E12" s="8">
        <f>E3/E9</f>
        <v>141.04761904762006</v>
      </c>
      <c r="F12" s="8">
        <f>F3/F9</f>
        <v>190.06666666666621</v>
      </c>
      <c r="G12" s="19">
        <f>G3/G9</f>
        <v>230.13068181818346</v>
      </c>
      <c r="H12" s="126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2"/>
  <sheetViews>
    <sheetView zoomScale="80" zoomScaleNormal="80" workbookViewId="0">
      <selection activeCell="B2" sqref="B2"/>
    </sheetView>
  </sheetViews>
  <sheetFormatPr baseColWidth="10" defaultRowHeight="14.5" x14ac:dyDescent="0.35"/>
  <cols>
    <col min="2" max="2" width="31.26953125" customWidth="1"/>
    <col min="12" max="12" width="12.81640625" customWidth="1"/>
    <col min="13" max="13" width="57.453125" customWidth="1"/>
  </cols>
  <sheetData>
    <row r="1" spans="2:14" x14ac:dyDescent="0.35">
      <c r="M1" s="6"/>
    </row>
    <row r="2" spans="2:14" ht="21" x14ac:dyDescent="0.35">
      <c r="B2" s="1" t="s">
        <v>22</v>
      </c>
      <c r="C2" s="26" t="s">
        <v>23</v>
      </c>
      <c r="D2" s="23">
        <v>2018</v>
      </c>
      <c r="E2" s="3">
        <v>2019</v>
      </c>
      <c r="F2" s="3">
        <v>2020</v>
      </c>
      <c r="G2" s="3">
        <v>2021</v>
      </c>
      <c r="H2" s="3">
        <v>2022</v>
      </c>
      <c r="I2" s="4">
        <v>2023</v>
      </c>
      <c r="J2" s="4">
        <v>2028</v>
      </c>
      <c r="K2" s="120"/>
      <c r="L2" s="5" t="s">
        <v>1</v>
      </c>
      <c r="M2" s="25" t="s">
        <v>24</v>
      </c>
      <c r="N2" s="6" t="s">
        <v>25</v>
      </c>
    </row>
    <row r="3" spans="2:14" x14ac:dyDescent="0.35">
      <c r="B3" s="13" t="s">
        <v>210</v>
      </c>
      <c r="C3" s="27">
        <v>0.16600000000000001</v>
      </c>
      <c r="D3" s="14">
        <v>8.1</v>
      </c>
      <c r="E3" s="14">
        <v>9.4445999999999994</v>
      </c>
      <c r="F3" s="14">
        <v>11.012403599999997</v>
      </c>
      <c r="G3" s="14">
        <v>12.840462597599997</v>
      </c>
      <c r="H3" s="14">
        <v>14.971979388801595</v>
      </c>
      <c r="I3" s="17">
        <v>17.457327967342657</v>
      </c>
      <c r="J3" s="17">
        <v>38</v>
      </c>
      <c r="K3" s="121"/>
      <c r="N3" s="6" t="s">
        <v>26</v>
      </c>
    </row>
    <row r="4" spans="2:14" x14ac:dyDescent="0.35">
      <c r="B4" s="15" t="s">
        <v>211</v>
      </c>
      <c r="C4" s="27">
        <v>0.191</v>
      </c>
      <c r="D4" s="14">
        <v>4.5999999999999996</v>
      </c>
      <c r="E4" s="14">
        <v>5.4786000000000001</v>
      </c>
      <c r="F4" s="14">
        <v>6.5250126000000002</v>
      </c>
      <c r="G4" s="14">
        <v>7.7712900066000001</v>
      </c>
      <c r="H4" s="14">
        <v>9.2556063978605998</v>
      </c>
      <c r="I4" s="17">
        <v>11.023427219851975</v>
      </c>
      <c r="J4" s="17">
        <v>27</v>
      </c>
      <c r="K4" s="121"/>
      <c r="M4" s="25" t="s">
        <v>27</v>
      </c>
      <c r="N4" s="6" t="s">
        <v>28</v>
      </c>
    </row>
    <row r="5" spans="2:14" x14ac:dyDescent="0.35">
      <c r="B5" s="16" t="s">
        <v>212</v>
      </c>
      <c r="C5" s="28">
        <v>0.13600000000000001</v>
      </c>
      <c r="D5" s="8">
        <v>4.5999999999999996</v>
      </c>
      <c r="E5" s="8">
        <v>5.2256</v>
      </c>
      <c r="F5" s="8">
        <v>5.9362816000000009</v>
      </c>
      <c r="G5" s="8">
        <v>6.7436158976000025</v>
      </c>
      <c r="H5" s="8">
        <v>7.6607476596736026</v>
      </c>
      <c r="I5" s="19">
        <v>8.7026093413892127</v>
      </c>
      <c r="J5" s="19">
        <v>16.5</v>
      </c>
      <c r="K5" s="121"/>
      <c r="N5" s="6" t="s">
        <v>29</v>
      </c>
    </row>
    <row r="6" spans="2:14" x14ac:dyDescent="0.35">
      <c r="B6" s="18" t="s">
        <v>208</v>
      </c>
      <c r="D6" s="29">
        <f t="shared" ref="D6:H6" si="0">SUM(D3:D5)</f>
        <v>17.299999999999997</v>
      </c>
      <c r="E6" s="30">
        <f t="shared" si="0"/>
        <v>20.148800000000001</v>
      </c>
      <c r="F6" s="30">
        <f t="shared" si="0"/>
        <v>23.473697799999997</v>
      </c>
      <c r="G6" s="30">
        <f t="shared" si="0"/>
        <v>27.355368501799997</v>
      </c>
      <c r="H6" s="30">
        <f t="shared" si="0"/>
        <v>31.8883334463358</v>
      </c>
      <c r="I6" s="128">
        <f>SUM(I3:I5)</f>
        <v>37.183364528583844</v>
      </c>
      <c r="J6" s="31">
        <f>SUM(J3:J5)</f>
        <v>81.5</v>
      </c>
      <c r="K6" s="121"/>
      <c r="N6" s="6" t="s">
        <v>30</v>
      </c>
    </row>
    <row r="7" spans="2:14" x14ac:dyDescent="0.35">
      <c r="N7" s="6" t="s">
        <v>31</v>
      </c>
    </row>
    <row r="8" spans="2:14" x14ac:dyDescent="0.35">
      <c r="M8" s="6" t="s">
        <v>32</v>
      </c>
    </row>
    <row r="9" spans="2:14" x14ac:dyDescent="0.35">
      <c r="M9" s="6" t="s">
        <v>33</v>
      </c>
    </row>
    <row r="10" spans="2:14" x14ac:dyDescent="0.35">
      <c r="M10" s="6" t="s">
        <v>34</v>
      </c>
    </row>
    <row r="12" spans="2:14" x14ac:dyDescent="0.35">
      <c r="L12" s="6"/>
      <c r="M12" s="6"/>
    </row>
  </sheetData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7"/>
  <sheetViews>
    <sheetView zoomScale="80" zoomScaleNormal="80" workbookViewId="0">
      <selection activeCell="B2" sqref="B2"/>
    </sheetView>
  </sheetViews>
  <sheetFormatPr baseColWidth="10" defaultRowHeight="14.5" x14ac:dyDescent="0.35"/>
  <cols>
    <col min="2" max="2" width="43.453125" customWidth="1"/>
    <col min="5" max="5" width="14.453125" customWidth="1"/>
    <col min="8" max="8" width="13.1796875" customWidth="1"/>
  </cols>
  <sheetData>
    <row r="2" spans="2:9" x14ac:dyDescent="0.35">
      <c r="B2" s="1" t="s">
        <v>0</v>
      </c>
      <c r="C2" s="26">
        <v>2023</v>
      </c>
      <c r="D2" s="26">
        <v>2028</v>
      </c>
      <c r="E2" s="120"/>
      <c r="H2" s="43" t="s">
        <v>1</v>
      </c>
      <c r="I2" s="43" t="s">
        <v>61</v>
      </c>
    </row>
    <row r="3" spans="2:9" x14ac:dyDescent="0.35">
      <c r="B3" s="36" t="s">
        <v>62</v>
      </c>
      <c r="C3" s="37">
        <v>176</v>
      </c>
      <c r="D3" s="38">
        <v>325</v>
      </c>
      <c r="E3" s="126"/>
      <c r="H3" s="44"/>
      <c r="I3" s="43" t="s">
        <v>4</v>
      </c>
    </row>
    <row r="4" spans="2:9" x14ac:dyDescent="0.35">
      <c r="B4" s="45" t="s">
        <v>63</v>
      </c>
      <c r="C4" s="24">
        <v>176</v>
      </c>
      <c r="D4" s="19">
        <v>580</v>
      </c>
      <c r="E4" s="126"/>
      <c r="H4" s="44"/>
      <c r="I4" s="43" t="s">
        <v>5</v>
      </c>
    </row>
    <row r="5" spans="2:9" x14ac:dyDescent="0.35">
      <c r="F5" s="39"/>
      <c r="G5" s="39"/>
      <c r="H5" s="44"/>
      <c r="I5" s="43" t="s">
        <v>64</v>
      </c>
    </row>
    <row r="6" spans="2:9" x14ac:dyDescent="0.35">
      <c r="H6" s="44"/>
      <c r="I6" s="43" t="s">
        <v>65</v>
      </c>
    </row>
    <row r="7" spans="2:9" x14ac:dyDescent="0.35">
      <c r="I7" s="43" t="s">
        <v>66</v>
      </c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28"/>
  <sheetViews>
    <sheetView zoomScale="70" zoomScaleNormal="70" workbookViewId="0">
      <selection activeCell="B2" sqref="B2"/>
    </sheetView>
  </sheetViews>
  <sheetFormatPr baseColWidth="10" defaultRowHeight="14.5" x14ac:dyDescent="0.35"/>
  <cols>
    <col min="2" max="2" width="75.81640625" customWidth="1"/>
    <col min="5" max="5" width="15.453125" customWidth="1"/>
    <col min="6" max="6" width="15.26953125" customWidth="1"/>
    <col min="9" max="9" width="16.81640625" customWidth="1"/>
    <col min="10" max="10" width="63" customWidth="1"/>
  </cols>
  <sheetData>
    <row r="2" spans="2:11" x14ac:dyDescent="0.35">
      <c r="B2" s="1" t="s">
        <v>0</v>
      </c>
      <c r="C2" s="26">
        <v>2022</v>
      </c>
      <c r="D2" s="26">
        <v>2026</v>
      </c>
      <c r="I2" s="5" t="s">
        <v>1</v>
      </c>
      <c r="J2" s="20" t="s">
        <v>42</v>
      </c>
      <c r="K2" s="6" t="s">
        <v>43</v>
      </c>
    </row>
    <row r="3" spans="2:11" x14ac:dyDescent="0.35">
      <c r="B3" s="36" t="s">
        <v>44</v>
      </c>
      <c r="C3" s="37">
        <v>460</v>
      </c>
      <c r="D3" s="38">
        <v>620</v>
      </c>
      <c r="E3" s="39"/>
      <c r="F3" s="39"/>
      <c r="G3" s="39"/>
      <c r="H3" s="39"/>
      <c r="J3" s="20" t="s">
        <v>45</v>
      </c>
      <c r="K3" s="6" t="s">
        <v>46</v>
      </c>
    </row>
    <row r="4" spans="2:11" x14ac:dyDescent="0.35">
      <c r="B4" s="15" t="s">
        <v>47</v>
      </c>
      <c r="C4" s="40">
        <v>460</v>
      </c>
      <c r="D4" s="17">
        <v>800</v>
      </c>
      <c r="E4" s="39"/>
      <c r="F4" s="39"/>
      <c r="G4" s="39"/>
      <c r="H4" s="39"/>
      <c r="J4" s="6" t="s">
        <v>5</v>
      </c>
    </row>
    <row r="5" spans="2:11" x14ac:dyDescent="0.35">
      <c r="B5" s="41" t="s">
        <v>48</v>
      </c>
      <c r="C5" s="24">
        <v>460</v>
      </c>
      <c r="D5" s="19">
        <v>1050</v>
      </c>
      <c r="E5" s="39"/>
      <c r="F5" s="39"/>
      <c r="J5" s="6" t="s">
        <v>7</v>
      </c>
    </row>
    <row r="6" spans="2:11" x14ac:dyDescent="0.35">
      <c r="J6" s="6" t="s">
        <v>49</v>
      </c>
    </row>
    <row r="7" spans="2:11" x14ac:dyDescent="0.35">
      <c r="F7" s="126"/>
      <c r="G7" s="126"/>
      <c r="H7" s="126"/>
      <c r="J7" s="20" t="s">
        <v>50</v>
      </c>
    </row>
    <row r="8" spans="2:11" x14ac:dyDescent="0.35">
      <c r="J8" s="6" t="s">
        <v>51</v>
      </c>
    </row>
    <row r="9" spans="2:11" x14ac:dyDescent="0.35">
      <c r="J9" s="20" t="s">
        <v>214</v>
      </c>
    </row>
    <row r="10" spans="2:11" x14ac:dyDescent="0.35">
      <c r="B10" s="1" t="s">
        <v>0</v>
      </c>
      <c r="C10" s="23">
        <v>2022</v>
      </c>
      <c r="D10" s="4">
        <v>2026</v>
      </c>
      <c r="I10" s="87"/>
    </row>
    <row r="11" spans="2:11" x14ac:dyDescent="0.35">
      <c r="B11" s="7" t="s">
        <v>52</v>
      </c>
      <c r="C11" s="24">
        <v>200</v>
      </c>
      <c r="D11" s="19">
        <v>260</v>
      </c>
    </row>
    <row r="13" spans="2:11" x14ac:dyDescent="0.35">
      <c r="B13" s="1" t="s">
        <v>0</v>
      </c>
      <c r="C13" s="23">
        <v>2022</v>
      </c>
      <c r="D13" s="4">
        <v>2026</v>
      </c>
    </row>
    <row r="14" spans="2:11" x14ac:dyDescent="0.35">
      <c r="B14" s="7" t="s">
        <v>53</v>
      </c>
      <c r="C14" s="24">
        <v>100</v>
      </c>
      <c r="D14" s="19">
        <v>150</v>
      </c>
    </row>
    <row r="16" spans="2:11" x14ac:dyDescent="0.35">
      <c r="B16" s="1" t="s">
        <v>0</v>
      </c>
      <c r="C16" s="23">
        <v>2020</v>
      </c>
      <c r="D16" s="3">
        <v>2022</v>
      </c>
      <c r="E16" s="3">
        <v>2026</v>
      </c>
      <c r="F16" s="4">
        <v>2030</v>
      </c>
    </row>
    <row r="17" spans="2:8" x14ac:dyDescent="0.35">
      <c r="B17" s="7" t="s">
        <v>54</v>
      </c>
      <c r="C17" s="24">
        <f>F17/2</f>
        <v>200</v>
      </c>
      <c r="D17" s="8">
        <f>(E17-C17)/(E16-C16)*(D16-C16)+C17</f>
        <v>233.33333333333334</v>
      </c>
      <c r="E17" s="8">
        <v>300</v>
      </c>
      <c r="F17" s="19">
        <v>400</v>
      </c>
    </row>
    <row r="21" spans="2:8" x14ac:dyDescent="0.35">
      <c r="B21" s="36" t="s">
        <v>55</v>
      </c>
      <c r="C21" s="38">
        <f>6760</f>
        <v>6760</v>
      </c>
    </row>
    <row r="22" spans="2:8" x14ac:dyDescent="0.35">
      <c r="B22" s="15" t="s">
        <v>56</v>
      </c>
      <c r="C22" s="42">
        <v>0.1</v>
      </c>
    </row>
    <row r="23" spans="2:8" x14ac:dyDescent="0.35">
      <c r="B23" s="41" t="s">
        <v>57</v>
      </c>
      <c r="C23" s="19">
        <f>C21*C22</f>
        <v>676</v>
      </c>
    </row>
    <row r="25" spans="2:8" x14ac:dyDescent="0.35">
      <c r="B25" s="1" t="s">
        <v>0</v>
      </c>
      <c r="C25" s="23">
        <v>2023</v>
      </c>
      <c r="D25" s="4">
        <v>2030</v>
      </c>
    </row>
    <row r="26" spans="2:8" x14ac:dyDescent="0.35">
      <c r="B26" s="36" t="s">
        <v>58</v>
      </c>
      <c r="C26" s="37">
        <f>C27</f>
        <v>545</v>
      </c>
      <c r="D26" s="38">
        <f>D27-110</f>
        <v>1111</v>
      </c>
    </row>
    <row r="27" spans="2:8" x14ac:dyDescent="0.35">
      <c r="B27" s="15" t="s">
        <v>59</v>
      </c>
      <c r="C27" s="40">
        <f>(D4-C4)/(D2-C2)*(C25-C2)+C4</f>
        <v>545</v>
      </c>
      <c r="D27" s="17">
        <f>C27+C23</f>
        <v>1221</v>
      </c>
    </row>
    <row r="28" spans="2:8" x14ac:dyDescent="0.35">
      <c r="B28" s="41" t="s">
        <v>60</v>
      </c>
      <c r="C28" s="24">
        <f>C27</f>
        <v>545</v>
      </c>
      <c r="D28" s="19">
        <f>D27+170</f>
        <v>1391</v>
      </c>
      <c r="E28" s="39"/>
      <c r="F28" s="39"/>
      <c r="G28" s="39"/>
      <c r="H28" s="39"/>
    </row>
  </sheetData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M16"/>
  <sheetViews>
    <sheetView zoomScale="80" workbookViewId="0">
      <selection activeCell="B2" sqref="B2"/>
    </sheetView>
  </sheetViews>
  <sheetFormatPr baseColWidth="10" defaultRowHeight="14.5" x14ac:dyDescent="0.35"/>
  <cols>
    <col min="2" max="2" width="51.1796875" customWidth="1"/>
    <col min="7" max="7" width="14.453125" customWidth="1"/>
  </cols>
  <sheetData>
    <row r="2" spans="2:13" x14ac:dyDescent="0.35">
      <c r="B2" s="1" t="s">
        <v>0</v>
      </c>
      <c r="C2" s="2">
        <v>2023</v>
      </c>
      <c r="D2" s="3">
        <v>2030</v>
      </c>
      <c r="E2" s="4">
        <v>2035</v>
      </c>
      <c r="G2" s="46" t="s">
        <v>1</v>
      </c>
      <c r="H2" s="43" t="s">
        <v>2</v>
      </c>
      <c r="M2" s="43" t="s">
        <v>67</v>
      </c>
    </row>
    <row r="3" spans="2:13" x14ac:dyDescent="0.35">
      <c r="B3" s="36" t="s">
        <v>68</v>
      </c>
      <c r="C3" s="14">
        <v>382</v>
      </c>
      <c r="D3" s="14">
        <v>705</v>
      </c>
      <c r="E3" s="17">
        <v>948</v>
      </c>
      <c r="G3" s="44"/>
      <c r="H3" s="43" t="s">
        <v>4</v>
      </c>
      <c r="M3" s="43" t="s">
        <v>69</v>
      </c>
    </row>
    <row r="4" spans="2:13" x14ac:dyDescent="0.35">
      <c r="B4" s="45" t="s">
        <v>70</v>
      </c>
      <c r="C4" s="8">
        <v>382</v>
      </c>
      <c r="D4" s="8">
        <v>970</v>
      </c>
      <c r="E4" s="19">
        <v>1975</v>
      </c>
      <c r="G4" s="44"/>
      <c r="H4" s="43" t="s">
        <v>5</v>
      </c>
    </row>
    <row r="5" spans="2:13" x14ac:dyDescent="0.35">
      <c r="D5" s="39"/>
      <c r="E5" s="39"/>
      <c r="G5" s="44"/>
      <c r="H5" s="43" t="s">
        <v>71</v>
      </c>
    </row>
    <row r="6" spans="2:13" x14ac:dyDescent="0.35">
      <c r="G6" s="44"/>
      <c r="H6" s="20" t="s">
        <v>72</v>
      </c>
    </row>
    <row r="7" spans="2:13" x14ac:dyDescent="0.35">
      <c r="H7" s="47" t="s">
        <v>73</v>
      </c>
    </row>
    <row r="8" spans="2:13" x14ac:dyDescent="0.35">
      <c r="G8" s="131"/>
      <c r="H8" s="20" t="s">
        <v>215</v>
      </c>
    </row>
    <row r="9" spans="2:13" x14ac:dyDescent="0.35">
      <c r="H9" s="20"/>
    </row>
    <row r="13" spans="2:13" x14ac:dyDescent="0.35">
      <c r="G13" s="48"/>
    </row>
    <row r="14" spans="2:13" x14ac:dyDescent="0.35">
      <c r="G14" s="49"/>
    </row>
    <row r="15" spans="2:13" x14ac:dyDescent="0.35">
      <c r="G15" s="48"/>
    </row>
    <row r="16" spans="2:13" x14ac:dyDescent="0.35">
      <c r="G16" s="49"/>
    </row>
  </sheetData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10"/>
  <sheetViews>
    <sheetView zoomScale="80" zoomScaleNormal="80" workbookViewId="0">
      <selection activeCell="B2" sqref="B2"/>
    </sheetView>
  </sheetViews>
  <sheetFormatPr baseColWidth="10" defaultRowHeight="14.5" x14ac:dyDescent="0.35"/>
  <cols>
    <col min="2" max="2" width="46.7265625" customWidth="1"/>
    <col min="6" max="6" width="16.453125" customWidth="1"/>
  </cols>
  <sheetData>
    <row r="2" spans="2:10" x14ac:dyDescent="0.35">
      <c r="B2" s="1" t="s">
        <v>0</v>
      </c>
      <c r="C2" s="23">
        <v>2023</v>
      </c>
      <c r="D2" s="4">
        <v>2030</v>
      </c>
      <c r="F2" s="111" t="s">
        <v>1</v>
      </c>
      <c r="G2" s="20" t="s">
        <v>172</v>
      </c>
    </row>
    <row r="3" spans="2:10" x14ac:dyDescent="0.35">
      <c r="B3" s="82" t="s">
        <v>178</v>
      </c>
      <c r="C3" s="24">
        <v>60</v>
      </c>
      <c r="D3" s="10">
        <v>150</v>
      </c>
      <c r="F3" s="44"/>
      <c r="G3" s="20" t="s">
        <v>175</v>
      </c>
    </row>
    <row r="4" spans="2:10" x14ac:dyDescent="0.35">
      <c r="F4" s="44"/>
      <c r="G4" s="20" t="s">
        <v>5</v>
      </c>
    </row>
    <row r="5" spans="2:10" x14ac:dyDescent="0.35">
      <c r="B5" s="1" t="s">
        <v>171</v>
      </c>
      <c r="C5" s="26">
        <v>2023</v>
      </c>
      <c r="D5" s="26">
        <v>2030</v>
      </c>
      <c r="F5" s="44"/>
      <c r="G5" s="20" t="s">
        <v>174</v>
      </c>
    </row>
    <row r="6" spans="2:10" x14ac:dyDescent="0.35">
      <c r="B6" s="82" t="s">
        <v>209</v>
      </c>
      <c r="C6" s="29">
        <v>10</v>
      </c>
      <c r="D6" s="31">
        <v>35</v>
      </c>
      <c r="F6" s="44"/>
      <c r="G6" s="20" t="s">
        <v>173</v>
      </c>
    </row>
    <row r="8" spans="2:10" x14ac:dyDescent="0.35">
      <c r="C8" s="39"/>
      <c r="D8" s="39"/>
      <c r="F8" s="111" t="s">
        <v>1</v>
      </c>
      <c r="G8" s="20" t="s">
        <v>176</v>
      </c>
    </row>
    <row r="9" spans="2:10" x14ac:dyDescent="0.35">
      <c r="G9" s="20" t="s">
        <v>177</v>
      </c>
      <c r="J9" s="112"/>
    </row>
    <row r="10" spans="2:10" x14ac:dyDescent="0.35">
      <c r="J10" s="112"/>
    </row>
  </sheetData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G7"/>
  <sheetViews>
    <sheetView zoomScale="80" zoomScaleNormal="80" workbookViewId="0">
      <selection activeCell="B2" sqref="B2"/>
    </sheetView>
  </sheetViews>
  <sheetFormatPr baseColWidth="10" defaultRowHeight="14.5" x14ac:dyDescent="0.35"/>
  <cols>
    <col min="2" max="2" width="38.26953125" customWidth="1"/>
    <col min="6" max="6" width="15.1796875" customWidth="1"/>
  </cols>
  <sheetData>
    <row r="2" spans="2:7" ht="21" x14ac:dyDescent="0.35">
      <c r="B2" s="1" t="s">
        <v>182</v>
      </c>
      <c r="C2" s="26">
        <v>2023</v>
      </c>
      <c r="D2" s="26">
        <v>2030</v>
      </c>
      <c r="F2" s="5" t="s">
        <v>1</v>
      </c>
      <c r="G2" s="20" t="s">
        <v>2</v>
      </c>
    </row>
    <row r="3" spans="2:7" x14ac:dyDescent="0.35">
      <c r="B3" s="36" t="s">
        <v>75</v>
      </c>
      <c r="C3" s="37">
        <v>55</v>
      </c>
      <c r="D3" s="38">
        <v>171</v>
      </c>
      <c r="G3" s="25" t="s">
        <v>180</v>
      </c>
    </row>
    <row r="4" spans="2:7" x14ac:dyDescent="0.35">
      <c r="B4" s="15" t="s">
        <v>77</v>
      </c>
      <c r="C4" s="40">
        <v>55</v>
      </c>
      <c r="D4" s="17">
        <v>219</v>
      </c>
      <c r="G4" s="25" t="s">
        <v>179</v>
      </c>
    </row>
    <row r="5" spans="2:7" x14ac:dyDescent="0.35">
      <c r="B5" s="41" t="s">
        <v>78</v>
      </c>
      <c r="C5" s="24">
        <v>55</v>
      </c>
      <c r="D5" s="19">
        <v>298</v>
      </c>
      <c r="G5" s="6" t="s">
        <v>79</v>
      </c>
    </row>
    <row r="6" spans="2:7" x14ac:dyDescent="0.35">
      <c r="G6" s="20" t="s">
        <v>181</v>
      </c>
    </row>
    <row r="7" spans="2:7" x14ac:dyDescent="0.35">
      <c r="B7" s="33"/>
      <c r="C7" s="113"/>
      <c r="D7" s="113"/>
      <c r="G7" s="6" t="s">
        <v>80</v>
      </c>
    </row>
  </sheetData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"/>
  <sheetViews>
    <sheetView workbookViewId="0">
      <selection activeCell="B2" sqref="B2"/>
    </sheetView>
  </sheetViews>
  <sheetFormatPr baseColWidth="10" defaultRowHeight="14.5" x14ac:dyDescent="0.35"/>
  <cols>
    <col min="2" max="2" width="31.1796875" customWidth="1"/>
    <col min="6" max="6" width="25.453125" customWidth="1"/>
  </cols>
  <sheetData>
    <row r="1" spans="1:8" x14ac:dyDescent="0.35">
      <c r="F1" s="114"/>
      <c r="G1" s="114"/>
      <c r="H1" s="114"/>
    </row>
    <row r="2" spans="1:8" x14ac:dyDescent="0.35">
      <c r="B2" s="1" t="s">
        <v>165</v>
      </c>
      <c r="C2" s="23">
        <v>2023</v>
      </c>
      <c r="D2" s="4">
        <v>2030</v>
      </c>
      <c r="F2" s="111" t="s">
        <v>1</v>
      </c>
      <c r="G2" s="20" t="s">
        <v>186</v>
      </c>
      <c r="H2" s="114"/>
    </row>
    <row r="3" spans="1:8" x14ac:dyDescent="0.35">
      <c r="B3" s="7" t="s">
        <v>108</v>
      </c>
      <c r="C3" s="24">
        <v>411</v>
      </c>
      <c r="D3" s="10">
        <v>1063</v>
      </c>
      <c r="F3" s="114"/>
      <c r="G3" s="20" t="s">
        <v>187</v>
      </c>
      <c r="H3" s="114"/>
    </row>
    <row r="4" spans="1:8" x14ac:dyDescent="0.35">
      <c r="F4" s="114"/>
      <c r="G4" s="20" t="s">
        <v>185</v>
      </c>
      <c r="H4" s="114"/>
    </row>
    <row r="5" spans="1:8" x14ac:dyDescent="0.35">
      <c r="F5" s="114"/>
      <c r="G5" s="20" t="s">
        <v>184</v>
      </c>
      <c r="H5" s="114"/>
    </row>
    <row r="6" spans="1:8" x14ac:dyDescent="0.35">
      <c r="F6" s="114"/>
      <c r="G6" s="20" t="s">
        <v>183</v>
      </c>
      <c r="H6" s="114"/>
    </row>
    <row r="7" spans="1:8" x14ac:dyDescent="0.35">
      <c r="A7" s="51"/>
      <c r="F7" s="44"/>
      <c r="G7" s="25"/>
    </row>
    <row r="8" spans="1:8" x14ac:dyDescent="0.35">
      <c r="F8" s="44"/>
      <c r="G8" s="2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6"/>
  <sheetViews>
    <sheetView zoomScale="80" zoomScaleNormal="80" workbookViewId="0">
      <selection activeCell="B2" sqref="B2"/>
    </sheetView>
  </sheetViews>
  <sheetFormatPr baseColWidth="10" defaultRowHeight="14.5" x14ac:dyDescent="0.35"/>
  <cols>
    <col min="2" max="2" width="48.1796875" customWidth="1"/>
    <col min="6" max="6" width="17.26953125" customWidth="1"/>
  </cols>
  <sheetData>
    <row r="2" spans="2:7" x14ac:dyDescent="0.35">
      <c r="B2" s="55" t="s">
        <v>162</v>
      </c>
      <c r="C2" s="23">
        <v>2023</v>
      </c>
      <c r="D2" s="4">
        <v>2030</v>
      </c>
      <c r="F2" s="111" t="s">
        <v>1</v>
      </c>
      <c r="G2" s="20" t="s">
        <v>163</v>
      </c>
    </row>
    <row r="3" spans="2:7" x14ac:dyDescent="0.35">
      <c r="B3" s="7" t="s">
        <v>199</v>
      </c>
      <c r="C3" s="108">
        <v>1.8</v>
      </c>
      <c r="D3" s="108">
        <v>5.2</v>
      </c>
      <c r="F3" s="44"/>
      <c r="G3" s="25" t="s">
        <v>190</v>
      </c>
    </row>
    <row r="4" spans="2:7" x14ac:dyDescent="0.35">
      <c r="B4" s="7" t="s">
        <v>200</v>
      </c>
      <c r="C4" s="108">
        <v>2.4</v>
      </c>
      <c r="D4" s="109">
        <v>6.5</v>
      </c>
      <c r="F4" s="44"/>
      <c r="G4" s="20" t="s">
        <v>189</v>
      </c>
    </row>
    <row r="5" spans="2:7" x14ac:dyDescent="0.35">
      <c r="B5" s="7" t="s">
        <v>201</v>
      </c>
      <c r="C5" s="108">
        <f>(C4+C3)/2</f>
        <v>2.1</v>
      </c>
      <c r="D5" s="108">
        <f>(D4+D3)/2</f>
        <v>5.85</v>
      </c>
      <c r="F5" s="44"/>
      <c r="G5" s="20" t="s">
        <v>188</v>
      </c>
    </row>
    <row r="6" spans="2:7" x14ac:dyDescent="0.35">
      <c r="F6" s="44"/>
      <c r="G6" s="20" t="s">
        <v>164</v>
      </c>
    </row>
  </sheetData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10"/>
  <sheetViews>
    <sheetView zoomScale="90" zoomScaleNormal="90" workbookViewId="0">
      <selection activeCell="B2" sqref="B2"/>
    </sheetView>
  </sheetViews>
  <sheetFormatPr baseColWidth="10" defaultRowHeight="14.5" x14ac:dyDescent="0.35"/>
  <cols>
    <col min="2" max="2" width="33.1796875" bestFit="1" customWidth="1"/>
    <col min="6" max="6" width="14.81640625" customWidth="1"/>
  </cols>
  <sheetData>
    <row r="2" spans="2:12" x14ac:dyDescent="0.35">
      <c r="B2" s="1" t="s">
        <v>167</v>
      </c>
      <c r="C2" s="26">
        <v>2023</v>
      </c>
      <c r="D2" s="26">
        <v>2030</v>
      </c>
      <c r="F2" s="50" t="s">
        <v>1</v>
      </c>
      <c r="G2" s="25" t="s">
        <v>2</v>
      </c>
    </row>
    <row r="3" spans="2:12" x14ac:dyDescent="0.35">
      <c r="B3" s="36" t="s">
        <v>85</v>
      </c>
      <c r="C3" s="37">
        <v>450</v>
      </c>
      <c r="D3" s="38">
        <v>750</v>
      </c>
      <c r="F3" s="44"/>
      <c r="G3" s="25" t="s">
        <v>4</v>
      </c>
    </row>
    <row r="4" spans="2:12" x14ac:dyDescent="0.35">
      <c r="B4" s="15" t="s">
        <v>168</v>
      </c>
      <c r="C4" s="40">
        <v>450</v>
      </c>
      <c r="D4" s="17">
        <v>1500</v>
      </c>
      <c r="F4" s="44"/>
      <c r="G4" s="25" t="s">
        <v>5</v>
      </c>
    </row>
    <row r="5" spans="2:12" x14ac:dyDescent="0.35">
      <c r="B5" s="41" t="s">
        <v>169</v>
      </c>
      <c r="C5" s="24">
        <v>450</v>
      </c>
      <c r="D5" s="19">
        <v>2125</v>
      </c>
      <c r="F5" s="44"/>
      <c r="G5" s="25" t="s">
        <v>7</v>
      </c>
    </row>
    <row r="6" spans="2:12" x14ac:dyDescent="0.35">
      <c r="F6" s="44"/>
      <c r="G6" s="25" t="s">
        <v>74</v>
      </c>
    </row>
    <row r="7" spans="2:12" x14ac:dyDescent="0.35">
      <c r="B7" s="110"/>
    </row>
    <row r="8" spans="2:12" x14ac:dyDescent="0.35">
      <c r="B8" s="52"/>
      <c r="C8" s="53"/>
      <c r="D8" s="53"/>
    </row>
    <row r="9" spans="2:12" ht="30" customHeight="1" x14ac:dyDescent="0.35">
      <c r="B9" s="1" t="s">
        <v>166</v>
      </c>
      <c r="C9" s="26">
        <v>2022</v>
      </c>
      <c r="D9" s="26">
        <v>2028</v>
      </c>
      <c r="L9" t="s">
        <v>86</v>
      </c>
    </row>
    <row r="10" spans="2:12" x14ac:dyDescent="0.35">
      <c r="B10" s="82" t="s">
        <v>207</v>
      </c>
      <c r="C10" s="29">
        <v>41</v>
      </c>
      <c r="D10" s="31">
        <v>142</v>
      </c>
    </row>
  </sheetData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29"/>
  <sheetViews>
    <sheetView zoomScale="80" zoomScaleNormal="80" workbookViewId="0">
      <selection activeCell="B2" sqref="B2"/>
    </sheetView>
  </sheetViews>
  <sheetFormatPr baseColWidth="10" defaultColWidth="11.453125" defaultRowHeight="14.5" x14ac:dyDescent="0.35"/>
  <cols>
    <col min="1" max="1" width="11.453125" style="54"/>
    <col min="2" max="2" width="56.26953125" style="54" customWidth="1"/>
    <col min="3" max="3" width="19.26953125" style="54" customWidth="1"/>
    <col min="4" max="6" width="11.453125" style="54"/>
    <col min="7" max="7" width="20.26953125" style="54" customWidth="1"/>
    <col min="8" max="8" width="56" style="54" customWidth="1"/>
    <col min="9" max="9" width="128.1796875" style="54" customWidth="1"/>
    <col min="10" max="16384" width="11.453125" style="54"/>
  </cols>
  <sheetData>
    <row r="2" spans="1:9" x14ac:dyDescent="0.35">
      <c r="B2" s="55" t="s">
        <v>87</v>
      </c>
      <c r="C2" s="56">
        <v>2018</v>
      </c>
      <c r="D2" s="56">
        <v>2023</v>
      </c>
      <c r="E2" s="57">
        <v>2030</v>
      </c>
      <c r="G2" s="132" t="s">
        <v>1</v>
      </c>
      <c r="H2" s="118" t="s">
        <v>81</v>
      </c>
      <c r="I2" s="134" t="s">
        <v>88</v>
      </c>
    </row>
    <row r="3" spans="1:9" ht="29" x14ac:dyDescent="0.35">
      <c r="B3" s="58" t="s">
        <v>89</v>
      </c>
      <c r="C3" s="59"/>
      <c r="D3" s="59">
        <v>524</v>
      </c>
      <c r="E3" s="60">
        <v>1493</v>
      </c>
      <c r="G3" s="133"/>
      <c r="H3" s="118" t="s">
        <v>76</v>
      </c>
      <c r="I3" s="134" t="s">
        <v>90</v>
      </c>
    </row>
    <row r="4" spans="1:9" x14ac:dyDescent="0.35">
      <c r="G4" s="133"/>
      <c r="H4" s="118" t="s">
        <v>82</v>
      </c>
      <c r="I4" s="116" t="s">
        <v>198</v>
      </c>
    </row>
    <row r="5" spans="1:9" ht="29" x14ac:dyDescent="0.35">
      <c r="B5" s="55" t="s">
        <v>196</v>
      </c>
      <c r="C5" s="56">
        <v>2018</v>
      </c>
      <c r="D5" s="56">
        <v>2023</v>
      </c>
      <c r="E5" s="57">
        <v>2030</v>
      </c>
      <c r="G5" s="133"/>
      <c r="H5" s="118"/>
      <c r="I5" s="134" t="s">
        <v>91</v>
      </c>
    </row>
    <row r="6" spans="1:9" x14ac:dyDescent="0.35">
      <c r="B6" s="62" t="s">
        <v>89</v>
      </c>
      <c r="C6" s="63">
        <f>SUM(C13:C16)</f>
        <v>30.8</v>
      </c>
      <c r="D6" s="63">
        <v>66.400000000000006</v>
      </c>
      <c r="E6" s="64">
        <v>189.4</v>
      </c>
      <c r="G6" s="133"/>
      <c r="H6" s="118" t="s">
        <v>83</v>
      </c>
      <c r="I6" s="134" t="s">
        <v>197</v>
      </c>
    </row>
    <row r="7" spans="1:9" ht="18.5" customHeight="1" x14ac:dyDescent="0.35">
      <c r="A7" s="65"/>
      <c r="G7" s="133"/>
      <c r="H7" s="118" t="s">
        <v>84</v>
      </c>
      <c r="I7" s="134" t="s">
        <v>92</v>
      </c>
    </row>
    <row r="8" spans="1:9" x14ac:dyDescent="0.35">
      <c r="B8" s="55" t="s">
        <v>87</v>
      </c>
      <c r="C8" s="56">
        <v>2018</v>
      </c>
      <c r="D8" s="56">
        <v>2023</v>
      </c>
      <c r="E8" s="57">
        <v>2030</v>
      </c>
      <c r="G8" s="61"/>
      <c r="H8"/>
      <c r="I8"/>
    </row>
    <row r="9" spans="1:9" x14ac:dyDescent="0.35">
      <c r="B9" s="58" t="s">
        <v>93</v>
      </c>
      <c r="C9" s="59"/>
      <c r="D9" s="59">
        <v>181</v>
      </c>
      <c r="E9" s="60">
        <v>531</v>
      </c>
    </row>
    <row r="10" spans="1:9" x14ac:dyDescent="0.35">
      <c r="B10" s="58" t="s">
        <v>94</v>
      </c>
      <c r="C10" s="59"/>
      <c r="D10" s="59">
        <v>87</v>
      </c>
      <c r="E10" s="60">
        <v>199</v>
      </c>
    </row>
    <row r="11" spans="1:9" customFormat="1" x14ac:dyDescent="0.35"/>
    <row r="12" spans="1:9" x14ac:dyDescent="0.35">
      <c r="B12" s="55" t="s">
        <v>195</v>
      </c>
      <c r="C12" s="56">
        <v>2018</v>
      </c>
      <c r="D12" s="56">
        <v>2023</v>
      </c>
      <c r="E12" s="57">
        <v>2030</v>
      </c>
    </row>
    <row r="13" spans="1:9" x14ac:dyDescent="0.35">
      <c r="B13" s="58" t="s">
        <v>203</v>
      </c>
      <c r="C13" s="59">
        <v>6.2</v>
      </c>
      <c r="D13" s="59">
        <v>14.1</v>
      </c>
      <c r="E13" s="60">
        <v>40.799999999999997</v>
      </c>
      <c r="G13" s="123"/>
    </row>
    <row r="14" spans="1:9" x14ac:dyDescent="0.35">
      <c r="B14" s="62" t="s">
        <v>202</v>
      </c>
      <c r="C14" s="66">
        <v>10.8</v>
      </c>
      <c r="D14" s="66">
        <v>23</v>
      </c>
      <c r="E14" s="67">
        <v>67.3</v>
      </c>
      <c r="G14" s="123"/>
    </row>
    <row r="15" spans="1:9" x14ac:dyDescent="0.35">
      <c r="B15" s="68" t="s">
        <v>204</v>
      </c>
      <c r="C15" s="69">
        <v>5.3</v>
      </c>
      <c r="D15" s="69">
        <v>9.9</v>
      </c>
      <c r="E15" s="69">
        <v>25.2</v>
      </c>
      <c r="G15" s="123"/>
    </row>
    <row r="16" spans="1:9" x14ac:dyDescent="0.35">
      <c r="B16" s="68" t="s">
        <v>205</v>
      </c>
      <c r="C16" s="70">
        <v>8.5</v>
      </c>
      <c r="D16" s="70">
        <v>19.399999999999999</v>
      </c>
      <c r="E16" s="70">
        <v>56.1</v>
      </c>
      <c r="G16" s="123"/>
    </row>
    <row r="17" spans="2:7" x14ac:dyDescent="0.35">
      <c r="G17" s="123"/>
    </row>
    <row r="19" spans="2:7" x14ac:dyDescent="0.35">
      <c r="B19" s="122"/>
      <c r="G19" s="123"/>
    </row>
    <row r="20" spans="2:7" x14ac:dyDescent="0.35">
      <c r="G20" s="123"/>
    </row>
    <row r="21" spans="2:7" x14ac:dyDescent="0.35">
      <c r="G21" s="123"/>
    </row>
    <row r="22" spans="2:7" x14ac:dyDescent="0.35">
      <c r="G22" s="123"/>
    </row>
    <row r="23" spans="2:7" x14ac:dyDescent="0.35">
      <c r="G23" s="123"/>
    </row>
    <row r="25" spans="2:7" x14ac:dyDescent="0.35">
      <c r="G25" s="123"/>
    </row>
    <row r="26" spans="2:7" x14ac:dyDescent="0.35">
      <c r="G26" s="123"/>
    </row>
    <row r="27" spans="2:7" x14ac:dyDescent="0.35">
      <c r="G27" s="123"/>
    </row>
    <row r="28" spans="2:7" x14ac:dyDescent="0.35">
      <c r="G28" s="123"/>
    </row>
    <row r="29" spans="2:7" x14ac:dyDescent="0.35">
      <c r="G29" s="123"/>
    </row>
  </sheetData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8"/>
  <sheetViews>
    <sheetView zoomScale="80" zoomScaleNormal="80" workbookViewId="0">
      <selection activeCell="B2" sqref="B2"/>
    </sheetView>
  </sheetViews>
  <sheetFormatPr baseColWidth="10" defaultColWidth="11.453125" defaultRowHeight="14.5" x14ac:dyDescent="0.35"/>
  <cols>
    <col min="1" max="1" width="11.453125" style="54"/>
    <col min="2" max="2" width="19.453125" style="54" customWidth="1"/>
    <col min="3" max="5" width="11.453125" style="54"/>
    <col min="6" max="6" width="17.26953125" style="54" customWidth="1"/>
    <col min="7" max="7" width="66.26953125" style="54" customWidth="1"/>
    <col min="8" max="8" width="72.26953125" style="54" customWidth="1"/>
    <col min="9" max="16384" width="11.453125" style="54"/>
  </cols>
  <sheetData>
    <row r="2" spans="1:9" x14ac:dyDescent="0.35">
      <c r="B2" s="55" t="s">
        <v>191</v>
      </c>
      <c r="C2" s="56">
        <v>2023</v>
      </c>
      <c r="D2" s="57">
        <v>2026</v>
      </c>
      <c r="F2" s="117" t="s">
        <v>1</v>
      </c>
      <c r="G2" s="118" t="s">
        <v>186</v>
      </c>
      <c r="I2" s="71"/>
    </row>
    <row r="3" spans="1:9" x14ac:dyDescent="0.35">
      <c r="B3" s="58" t="s">
        <v>206</v>
      </c>
      <c r="C3" s="59">
        <v>49</v>
      </c>
      <c r="D3" s="60">
        <v>96</v>
      </c>
      <c r="F3" s="61"/>
      <c r="G3" s="116" t="s">
        <v>192</v>
      </c>
      <c r="I3" s="71"/>
    </row>
    <row r="4" spans="1:9" x14ac:dyDescent="0.35">
      <c r="F4" s="61"/>
      <c r="G4" s="118" t="s">
        <v>95</v>
      </c>
      <c r="H4" s="119"/>
      <c r="I4" s="71"/>
    </row>
    <row r="5" spans="1:9" x14ac:dyDescent="0.35">
      <c r="F5" s="61"/>
      <c r="G5" s="118" t="s">
        <v>193</v>
      </c>
      <c r="I5" s="71"/>
    </row>
    <row r="6" spans="1:9" x14ac:dyDescent="0.35">
      <c r="F6" s="61"/>
      <c r="G6" s="118" t="s">
        <v>96</v>
      </c>
      <c r="I6" s="71"/>
    </row>
    <row r="7" spans="1:9" x14ac:dyDescent="0.35">
      <c r="A7" s="72"/>
      <c r="F7" s="61"/>
      <c r="G7" s="118" t="s">
        <v>194</v>
      </c>
    </row>
    <row r="8" spans="1:9" x14ac:dyDescent="0.35">
      <c r="F8" s="61"/>
      <c r="G8" s="116"/>
    </row>
  </sheetData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C25"/>
  <sheetViews>
    <sheetView tabSelected="1" zoomScale="50" zoomScaleNormal="50" workbookViewId="0">
      <selection activeCell="B2" sqref="B2:C2"/>
    </sheetView>
  </sheetViews>
  <sheetFormatPr baseColWidth="10" defaultRowHeight="14.5" x14ac:dyDescent="0.35"/>
  <cols>
    <col min="2" max="2" width="38.26953125" customWidth="1"/>
    <col min="3" max="3" width="202.81640625" style="73" customWidth="1"/>
  </cols>
  <sheetData>
    <row r="2" spans="2:3" ht="30" customHeight="1" x14ac:dyDescent="0.35">
      <c r="B2" s="181" t="s">
        <v>97</v>
      </c>
      <c r="C2" s="182"/>
    </row>
    <row r="3" spans="2:3" ht="30" customHeight="1" x14ac:dyDescent="0.35">
      <c r="B3" s="74" t="s">
        <v>98</v>
      </c>
      <c r="C3" s="75" t="s">
        <v>99</v>
      </c>
    </row>
    <row r="4" spans="2:3" ht="30" customHeight="1" x14ac:dyDescent="0.35">
      <c r="B4" s="76" t="s">
        <v>100</v>
      </c>
      <c r="C4" s="77" t="s">
        <v>101</v>
      </c>
    </row>
    <row r="5" spans="2:3" ht="30" customHeight="1" x14ac:dyDescent="0.35">
      <c r="B5" s="76" t="s">
        <v>102</v>
      </c>
      <c r="C5" s="77" t="s">
        <v>103</v>
      </c>
    </row>
    <row r="6" spans="2:3" ht="30" customHeight="1" x14ac:dyDescent="0.35">
      <c r="B6" s="76" t="s">
        <v>104</v>
      </c>
      <c r="C6" s="77" t="s">
        <v>105</v>
      </c>
    </row>
    <row r="7" spans="2:3" ht="30" customHeight="1" x14ac:dyDescent="0.35">
      <c r="B7" s="76" t="s">
        <v>106</v>
      </c>
      <c r="C7" s="78" t="s">
        <v>107</v>
      </c>
    </row>
    <row r="8" spans="2:3" ht="30" customHeight="1" x14ac:dyDescent="0.35">
      <c r="B8" s="76" t="s">
        <v>108</v>
      </c>
      <c r="C8" s="77" t="s">
        <v>109</v>
      </c>
    </row>
    <row r="9" spans="2:3" ht="30" customHeight="1" x14ac:dyDescent="0.35">
      <c r="B9" s="76" t="s">
        <v>20</v>
      </c>
      <c r="C9" s="77" t="s">
        <v>110</v>
      </c>
    </row>
    <row r="10" spans="2:3" ht="30" customHeight="1" x14ac:dyDescent="0.35">
      <c r="B10" s="76" t="s">
        <v>111</v>
      </c>
      <c r="C10" s="77" t="s">
        <v>112</v>
      </c>
    </row>
    <row r="11" spans="2:3" ht="30" customHeight="1" x14ac:dyDescent="0.35">
      <c r="B11" s="76" t="s">
        <v>113</v>
      </c>
      <c r="C11" s="77" t="s">
        <v>114</v>
      </c>
    </row>
    <row r="12" spans="2:3" ht="30" customHeight="1" x14ac:dyDescent="0.35">
      <c r="B12" s="76" t="s">
        <v>115</v>
      </c>
      <c r="C12" s="78" t="s">
        <v>116</v>
      </c>
    </row>
    <row r="13" spans="2:3" ht="30" customHeight="1" x14ac:dyDescent="0.35">
      <c r="B13" s="76" t="s">
        <v>89</v>
      </c>
      <c r="C13" s="77" t="s">
        <v>117</v>
      </c>
    </row>
    <row r="14" spans="2:3" ht="45" customHeight="1" x14ac:dyDescent="0.35">
      <c r="B14" s="76" t="s">
        <v>118</v>
      </c>
      <c r="C14" s="77" t="s">
        <v>119</v>
      </c>
    </row>
    <row r="15" spans="2:3" ht="30" customHeight="1" x14ac:dyDescent="0.35">
      <c r="B15" s="76" t="s">
        <v>120</v>
      </c>
      <c r="C15" s="77" t="s">
        <v>121</v>
      </c>
    </row>
    <row r="16" spans="2:3" ht="30" customHeight="1" x14ac:dyDescent="0.35">
      <c r="B16" s="76" t="s">
        <v>122</v>
      </c>
      <c r="C16" s="77" t="s">
        <v>123</v>
      </c>
    </row>
    <row r="17" spans="2:3" ht="30" customHeight="1" x14ac:dyDescent="0.35">
      <c r="B17" s="76" t="s">
        <v>36</v>
      </c>
      <c r="C17" s="77" t="s">
        <v>124</v>
      </c>
    </row>
    <row r="18" spans="2:3" ht="30" customHeight="1" x14ac:dyDescent="0.35">
      <c r="B18" s="76" t="s">
        <v>125</v>
      </c>
      <c r="C18" s="77" t="s">
        <v>126</v>
      </c>
    </row>
    <row r="19" spans="2:3" ht="30" customHeight="1" x14ac:dyDescent="0.35">
      <c r="B19" s="76" t="s">
        <v>127</v>
      </c>
      <c r="C19" s="77" t="s">
        <v>128</v>
      </c>
    </row>
    <row r="20" spans="2:3" ht="30" customHeight="1" x14ac:dyDescent="0.35">
      <c r="B20" s="76" t="s">
        <v>129</v>
      </c>
      <c r="C20" s="77" t="s">
        <v>130</v>
      </c>
    </row>
    <row r="21" spans="2:3" ht="30" customHeight="1" x14ac:dyDescent="0.35">
      <c r="B21" s="76" t="s">
        <v>131</v>
      </c>
      <c r="C21" s="77" t="s">
        <v>132</v>
      </c>
    </row>
    <row r="22" spans="2:3" ht="30" customHeight="1" x14ac:dyDescent="0.35">
      <c r="B22" s="79" t="s">
        <v>133</v>
      </c>
      <c r="C22" s="80" t="s">
        <v>134</v>
      </c>
    </row>
    <row r="25" spans="2:3" x14ac:dyDescent="0.35">
      <c r="C25" s="78"/>
    </row>
  </sheetData>
  <mergeCells count="1">
    <mergeCell ref="B2:C2"/>
  </mergeCell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4:T52"/>
  <sheetViews>
    <sheetView zoomScale="50" zoomScaleNormal="50" workbookViewId="0">
      <selection activeCell="R36" sqref="R36"/>
    </sheetView>
  </sheetViews>
  <sheetFormatPr baseColWidth="10" defaultRowHeight="14.5" x14ac:dyDescent="0.35"/>
  <sheetData>
    <row r="34" spans="16:20" x14ac:dyDescent="0.35">
      <c r="P34" s="115"/>
    </row>
    <row r="35" spans="16:20" x14ac:dyDescent="0.35">
      <c r="P35" s="115"/>
      <c r="Q35" s="115"/>
      <c r="R35" s="115"/>
      <c r="S35" s="115"/>
      <c r="T35" s="115"/>
    </row>
    <row r="36" spans="16:20" x14ac:dyDescent="0.35">
      <c r="P36" s="115"/>
      <c r="Q36" s="115"/>
      <c r="R36" s="115"/>
      <c r="S36" s="115"/>
      <c r="T36" s="115"/>
    </row>
    <row r="37" spans="16:20" x14ac:dyDescent="0.35">
      <c r="P37" s="115"/>
      <c r="Q37" s="115"/>
      <c r="R37" s="115"/>
      <c r="S37" s="115"/>
      <c r="T37" s="115"/>
    </row>
    <row r="38" spans="16:20" x14ac:dyDescent="0.35">
      <c r="P38" s="115"/>
      <c r="Q38" s="115"/>
      <c r="R38" s="115"/>
      <c r="S38" s="115"/>
      <c r="T38" s="115"/>
    </row>
    <row r="39" spans="16:20" x14ac:dyDescent="0.35">
      <c r="P39" s="115"/>
    </row>
    <row r="40" spans="16:20" x14ac:dyDescent="0.35">
      <c r="P40" s="115"/>
    </row>
    <row r="42" spans="16:20" x14ac:dyDescent="0.35">
      <c r="P42" s="115"/>
    </row>
    <row r="50" spans="2:2" x14ac:dyDescent="0.35">
      <c r="B50" s="51"/>
    </row>
    <row r="51" spans="2:2" x14ac:dyDescent="0.35">
      <c r="B51" s="51"/>
    </row>
    <row r="52" spans="2:2" x14ac:dyDescent="0.35">
      <c r="B52" s="51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zoomScale="40" zoomScaleNormal="40" workbookViewId="0"/>
  </sheetViews>
  <sheetFormatPr baseColWidth="10" defaultRowHeight="14.5" x14ac:dyDescent="0.35"/>
  <sheetData>
    <row r="1" spans="1:1" x14ac:dyDescent="0.35">
      <c r="A1" t="s">
        <v>135</v>
      </c>
    </row>
  </sheetData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H31"/>
  <sheetViews>
    <sheetView zoomScale="60" zoomScaleNormal="60" workbookViewId="0">
      <selection activeCell="B2" sqref="B2"/>
    </sheetView>
  </sheetViews>
  <sheetFormatPr baseColWidth="10" defaultRowHeight="14.5" x14ac:dyDescent="0.35"/>
  <cols>
    <col min="2" max="2" width="59.7265625" customWidth="1"/>
  </cols>
  <sheetData>
    <row r="2" spans="2:8" x14ac:dyDescent="0.35">
      <c r="B2" s="81" t="s">
        <v>136</v>
      </c>
    </row>
    <row r="4" spans="2:8" x14ac:dyDescent="0.35">
      <c r="B4" s="1" t="s">
        <v>137</v>
      </c>
      <c r="C4" s="23">
        <v>2022</v>
      </c>
      <c r="D4" s="3">
        <v>2023</v>
      </c>
      <c r="E4" s="3">
        <v>2030</v>
      </c>
      <c r="F4" s="3">
        <v>2035</v>
      </c>
      <c r="G4" s="4">
        <v>2050</v>
      </c>
    </row>
    <row r="5" spans="2:8" x14ac:dyDescent="0.35">
      <c r="B5" s="82" t="s">
        <v>138</v>
      </c>
      <c r="C5" s="29">
        <v>460</v>
      </c>
      <c r="D5" s="30">
        <v>458</v>
      </c>
      <c r="E5" s="30">
        <v>312</v>
      </c>
      <c r="F5" s="30">
        <v>219</v>
      </c>
      <c r="G5" s="31">
        <v>111</v>
      </c>
    </row>
    <row r="6" spans="2:8" x14ac:dyDescent="0.35">
      <c r="B6" s="45" t="s">
        <v>139</v>
      </c>
      <c r="C6" s="24">
        <f>C5</f>
        <v>460</v>
      </c>
      <c r="D6" s="8"/>
      <c r="E6" s="8">
        <v>460</v>
      </c>
      <c r="F6" s="8"/>
      <c r="G6" s="19"/>
      <c r="H6" s="87" t="s">
        <v>151</v>
      </c>
    </row>
    <row r="8" spans="2:8" x14ac:dyDescent="0.35">
      <c r="B8" s="135" t="s">
        <v>140</v>
      </c>
      <c r="C8" s="23">
        <v>2022</v>
      </c>
      <c r="D8" s="4">
        <v>2030</v>
      </c>
      <c r="F8" s="83"/>
    </row>
    <row r="9" spans="2:8" x14ac:dyDescent="0.35">
      <c r="B9" s="7" t="s">
        <v>141</v>
      </c>
      <c r="C9" s="84">
        <v>0.35</v>
      </c>
      <c r="D9" s="85">
        <v>0.35</v>
      </c>
      <c r="E9" s="146" t="s">
        <v>142</v>
      </c>
    </row>
    <row r="10" spans="2:8" x14ac:dyDescent="0.35">
      <c r="E10" s="146" t="s">
        <v>143</v>
      </c>
    </row>
    <row r="11" spans="2:8" x14ac:dyDescent="0.35">
      <c r="E11" s="146" t="s">
        <v>144</v>
      </c>
    </row>
    <row r="12" spans="2:8" x14ac:dyDescent="0.35">
      <c r="B12" s="81" t="s">
        <v>145</v>
      </c>
    </row>
    <row r="14" spans="2:8" x14ac:dyDescent="0.35">
      <c r="B14" s="136"/>
      <c r="C14" s="26">
        <v>2022</v>
      </c>
      <c r="D14" s="26">
        <v>2030</v>
      </c>
    </row>
    <row r="15" spans="2:8" x14ac:dyDescent="0.35">
      <c r="B15" s="137" t="s">
        <v>0</v>
      </c>
      <c r="C15" s="37">
        <v>460</v>
      </c>
      <c r="D15" s="38">
        <v>1391</v>
      </c>
      <c r="E15" s="86"/>
    </row>
    <row r="16" spans="2:8" x14ac:dyDescent="0.35">
      <c r="B16" s="138" t="s">
        <v>216</v>
      </c>
      <c r="C16" s="40">
        <f>C15*C5/1000</f>
        <v>211.6</v>
      </c>
      <c r="D16" s="17">
        <f>D15*E6/1000</f>
        <v>639.86</v>
      </c>
    </row>
    <row r="17" spans="2:5" x14ac:dyDescent="0.35">
      <c r="B17" s="139" t="s">
        <v>217</v>
      </c>
      <c r="C17" s="40">
        <f>C9*C16</f>
        <v>74.059999999999988</v>
      </c>
      <c r="D17" s="17">
        <f>D16*D9</f>
        <v>223.95099999999999</v>
      </c>
    </row>
    <row r="18" spans="2:5" x14ac:dyDescent="0.35">
      <c r="B18" s="140" t="s">
        <v>218</v>
      </c>
      <c r="C18" s="24">
        <f>C16+C17</f>
        <v>285.65999999999997</v>
      </c>
      <c r="D18" s="19">
        <f>D16+D17</f>
        <v>863.81100000000004</v>
      </c>
      <c r="E18" s="86"/>
    </row>
    <row r="22" spans="2:5" x14ac:dyDescent="0.35">
      <c r="B22" s="81" t="s">
        <v>146</v>
      </c>
    </row>
    <row r="23" spans="2:5" x14ac:dyDescent="0.35">
      <c r="B23" s="81"/>
    </row>
    <row r="24" spans="2:5" x14ac:dyDescent="0.35">
      <c r="B24" s="81"/>
      <c r="C24" s="141">
        <v>2022</v>
      </c>
      <c r="D24" s="141">
        <v>2030</v>
      </c>
      <c r="E24" s="142" t="s">
        <v>170</v>
      </c>
    </row>
    <row r="25" spans="2:5" ht="16.5" x14ac:dyDescent="0.45">
      <c r="B25" s="143" t="s">
        <v>219</v>
      </c>
      <c r="C25" s="144">
        <f>C18/1000</f>
        <v>0.28565999999999997</v>
      </c>
      <c r="D25" s="144">
        <f>IEA!D27*E5/1000*(1+D9)/1000</f>
        <v>0.5142852</v>
      </c>
      <c r="E25" s="145">
        <f>D25/C25-1</f>
        <v>0.80034026465028374</v>
      </c>
    </row>
    <row r="26" spans="2:5" ht="16.5" x14ac:dyDescent="0.45">
      <c r="B26" s="143" t="s">
        <v>220</v>
      </c>
      <c r="C26" s="144">
        <f>C18/1000</f>
        <v>0.28565999999999997</v>
      </c>
      <c r="D26" s="144">
        <f>IEA!D28*E6/1000*(1+D9)/1000</f>
        <v>0.863811</v>
      </c>
      <c r="E26" s="145">
        <f>D26/C26-1</f>
        <v>2.0239130434782613</v>
      </c>
    </row>
    <row r="27" spans="2:5" x14ac:dyDescent="0.35">
      <c r="B27" s="81"/>
    </row>
    <row r="28" spans="2:5" x14ac:dyDescent="0.35">
      <c r="B28" s="81"/>
      <c r="D28" s="124"/>
    </row>
    <row r="29" spans="2:5" x14ac:dyDescent="0.35">
      <c r="B29" s="87"/>
      <c r="D29" s="124"/>
    </row>
    <row r="30" spans="2:5" x14ac:dyDescent="0.35">
      <c r="B30" s="87"/>
    </row>
    <row r="31" spans="2:5" x14ac:dyDescent="0.35">
      <c r="B31" s="87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O29"/>
  <sheetViews>
    <sheetView zoomScale="60" zoomScaleNormal="60" workbookViewId="0">
      <selection activeCell="B2" sqref="B2"/>
    </sheetView>
  </sheetViews>
  <sheetFormatPr baseColWidth="10" defaultRowHeight="14.5" x14ac:dyDescent="0.35"/>
  <cols>
    <col min="1" max="1" width="5.1796875" customWidth="1"/>
    <col min="2" max="2" width="29" style="180" customWidth="1"/>
    <col min="3" max="11" width="17.7265625" customWidth="1"/>
    <col min="12" max="12" width="7.7265625" customWidth="1"/>
    <col min="13" max="13" width="13.1796875" customWidth="1"/>
    <col min="14" max="20" width="7.7265625" customWidth="1"/>
  </cols>
  <sheetData>
    <row r="2" spans="2:13" x14ac:dyDescent="0.35">
      <c r="B2" s="156" t="s">
        <v>147</v>
      </c>
      <c r="C2" s="89" t="s">
        <v>148</v>
      </c>
      <c r="D2" s="183" t="s">
        <v>149</v>
      </c>
      <c r="E2" s="184"/>
      <c r="F2" s="185"/>
      <c r="G2" s="90" t="s">
        <v>150</v>
      </c>
    </row>
    <row r="3" spans="2:13" x14ac:dyDescent="0.35">
      <c r="B3" s="171"/>
      <c r="C3" s="88"/>
      <c r="D3" s="88"/>
      <c r="E3" s="88"/>
      <c r="F3" s="88"/>
      <c r="G3" s="88"/>
      <c r="H3" s="88"/>
      <c r="I3" s="88"/>
      <c r="J3" s="88"/>
      <c r="K3" s="88"/>
    </row>
    <row r="4" spans="2:13" x14ac:dyDescent="0.35">
      <c r="B4" s="171"/>
      <c r="C4" s="91">
        <v>2022</v>
      </c>
      <c r="D4" s="92">
        <v>2023</v>
      </c>
      <c r="E4" s="92">
        <v>2024</v>
      </c>
      <c r="F4" s="92">
        <v>2025</v>
      </c>
      <c r="G4" s="91">
        <v>2026</v>
      </c>
      <c r="H4" s="92">
        <v>2027</v>
      </c>
      <c r="I4" s="92">
        <v>2028</v>
      </c>
      <c r="J4" s="92">
        <v>2029</v>
      </c>
      <c r="K4" s="93">
        <v>2030</v>
      </c>
    </row>
    <row r="5" spans="2:13" ht="20" customHeight="1" x14ac:dyDescent="0.35">
      <c r="B5" s="172" t="s">
        <v>152</v>
      </c>
      <c r="C5" s="157">
        <f>DCByte!H6</f>
        <v>31.8883334463358</v>
      </c>
      <c r="D5" s="158">
        <f>DCByte!I6</f>
        <v>37.183364528583844</v>
      </c>
      <c r="E5" s="158">
        <f>$D$5*(1+0.17)^(E4-$D$4)</f>
        <v>43.504536498443095</v>
      </c>
      <c r="F5" s="158">
        <f>$D$5*(1+0.17)^(F4-$D$4)</f>
        <v>50.900307703178413</v>
      </c>
      <c r="G5" s="95">
        <f>$D$5*(1+0.17)^(G4-$D$4)</f>
        <v>59.553360012718748</v>
      </c>
      <c r="H5" s="95">
        <f>$D$5*(1+0.17)^(H4-$D$4)</f>
        <v>69.677431214880926</v>
      </c>
      <c r="I5" s="95">
        <f>DCByte!J6</f>
        <v>81.5</v>
      </c>
      <c r="J5" s="95">
        <f>$D$5*(1+0.17)^(J4-$D$4)</f>
        <v>95.381435590050486</v>
      </c>
      <c r="K5" s="96">
        <f>$D$5*(1+0.17)^(K4-$D$4)</f>
        <v>111.59627964035906</v>
      </c>
      <c r="L5" s="87" t="s">
        <v>222</v>
      </c>
      <c r="M5" s="155"/>
    </row>
    <row r="6" spans="2:13" ht="20" customHeight="1" x14ac:dyDescent="0.35">
      <c r="B6" s="173" t="s">
        <v>153</v>
      </c>
      <c r="C6" s="129">
        <f>C5*24*365/1000</f>
        <v>279.34180098990163</v>
      </c>
      <c r="D6" s="130">
        <f t="shared" ref="D6:K6" si="0">D5*24*365/1000</f>
        <v>325.72627327039447</v>
      </c>
      <c r="E6" s="130">
        <f t="shared" si="0"/>
        <v>381.09973972636152</v>
      </c>
      <c r="F6" s="130">
        <f t="shared" si="0"/>
        <v>445.8866954798429</v>
      </c>
      <c r="G6" s="97">
        <f t="shared" si="0"/>
        <v>521.68743371141625</v>
      </c>
      <c r="H6" s="97">
        <f t="shared" si="0"/>
        <v>610.37429744235692</v>
      </c>
      <c r="I6" s="97">
        <f t="shared" si="0"/>
        <v>713.94</v>
      </c>
      <c r="J6" s="97">
        <f t="shared" si="0"/>
        <v>835.54137576884216</v>
      </c>
      <c r="K6" s="98">
        <f t="shared" si="0"/>
        <v>977.58340964954527</v>
      </c>
      <c r="L6" s="87"/>
    </row>
    <row r="7" spans="2:13" x14ac:dyDescent="0.35">
      <c r="B7" s="171"/>
      <c r="C7" s="159"/>
      <c r="D7" s="159"/>
      <c r="E7" s="159"/>
      <c r="F7" s="159"/>
      <c r="G7" s="88"/>
      <c r="H7" s="88"/>
      <c r="I7" s="88"/>
      <c r="J7" s="88"/>
      <c r="K7" s="88"/>
      <c r="L7" s="87"/>
    </row>
    <row r="8" spans="2:13" ht="20" customHeight="1" x14ac:dyDescent="0.35">
      <c r="B8" s="172" t="s">
        <v>154</v>
      </c>
      <c r="C8" s="160">
        <v>0.65</v>
      </c>
      <c r="D8" s="161">
        <f t="shared" ref="D8:J8" si="1">($K8-$C8)/($K$4-$C$4)*(D$4-$C$4)+$C8</f>
        <v>0.65</v>
      </c>
      <c r="E8" s="161">
        <f t="shared" si="1"/>
        <v>0.65</v>
      </c>
      <c r="F8" s="161">
        <f t="shared" si="1"/>
        <v>0.65</v>
      </c>
      <c r="G8" s="147">
        <f t="shared" si="1"/>
        <v>0.65</v>
      </c>
      <c r="H8" s="147">
        <f t="shared" si="1"/>
        <v>0.65</v>
      </c>
      <c r="I8" s="147">
        <f t="shared" si="1"/>
        <v>0.65</v>
      </c>
      <c r="J8" s="147">
        <f t="shared" si="1"/>
        <v>0.65</v>
      </c>
      <c r="K8" s="148">
        <v>0.65</v>
      </c>
      <c r="L8" s="87" t="s">
        <v>221</v>
      </c>
    </row>
    <row r="9" spans="2:13" ht="20" customHeight="1" x14ac:dyDescent="0.35">
      <c r="B9" s="174" t="s">
        <v>155</v>
      </c>
      <c r="C9" s="162">
        <f t="shared" ref="C9:K9" si="2">C6*C8</f>
        <v>181.57217064343607</v>
      </c>
      <c r="D9" s="163">
        <f t="shared" si="2"/>
        <v>211.72207762575641</v>
      </c>
      <c r="E9" s="163">
        <f t="shared" si="2"/>
        <v>247.71483082213499</v>
      </c>
      <c r="F9" s="163">
        <f t="shared" si="2"/>
        <v>289.82635206189792</v>
      </c>
      <c r="G9" s="149">
        <f t="shared" si="2"/>
        <v>339.09683191242055</v>
      </c>
      <c r="H9" s="149">
        <f t="shared" si="2"/>
        <v>396.74329333753201</v>
      </c>
      <c r="I9" s="149">
        <f t="shared" si="2"/>
        <v>464.06100000000004</v>
      </c>
      <c r="J9" s="149">
        <f t="shared" si="2"/>
        <v>543.10189424974737</v>
      </c>
      <c r="K9" s="150">
        <f t="shared" si="2"/>
        <v>635.42921627220448</v>
      </c>
      <c r="L9" s="87"/>
    </row>
    <row r="10" spans="2:13" ht="20" customHeight="1" x14ac:dyDescent="0.35">
      <c r="B10" s="175" t="s">
        <v>156</v>
      </c>
      <c r="C10" s="164">
        <v>1.35</v>
      </c>
      <c r="D10" s="165">
        <f>($K10-$C10)/($K$4-$C$4)*(D$4-$C$4)+$C10</f>
        <v>1.35</v>
      </c>
      <c r="E10" s="165">
        <f t="shared" ref="E10:J10" si="3">($K10-$C10)/($K$4-$C$4)*(E$4-$C$4)+$C10</f>
        <v>1.35</v>
      </c>
      <c r="F10" s="165">
        <f t="shared" si="3"/>
        <v>1.35</v>
      </c>
      <c r="G10" s="151">
        <f t="shared" si="3"/>
        <v>1.35</v>
      </c>
      <c r="H10" s="151">
        <f t="shared" si="3"/>
        <v>1.35</v>
      </c>
      <c r="I10" s="151">
        <f t="shared" si="3"/>
        <v>1.35</v>
      </c>
      <c r="J10" s="151">
        <f t="shared" si="3"/>
        <v>1.35</v>
      </c>
      <c r="K10" s="152">
        <v>1.35</v>
      </c>
      <c r="L10" s="87" t="s">
        <v>221</v>
      </c>
    </row>
    <row r="11" spans="2:13" ht="30" customHeight="1" x14ac:dyDescent="0.35">
      <c r="B11" s="173" t="s">
        <v>157</v>
      </c>
      <c r="C11" s="166">
        <f>C9*C10</f>
        <v>245.1224303686387</v>
      </c>
      <c r="D11" s="167">
        <f t="shared" ref="D11:K11" si="4">D9*D10</f>
        <v>285.82480479477118</v>
      </c>
      <c r="E11" s="167">
        <f t="shared" si="4"/>
        <v>334.41502160988227</v>
      </c>
      <c r="F11" s="167">
        <f t="shared" si="4"/>
        <v>391.26557528356221</v>
      </c>
      <c r="G11" s="153">
        <f t="shared" si="4"/>
        <v>457.7807230817678</v>
      </c>
      <c r="H11" s="153">
        <f t="shared" si="4"/>
        <v>535.60344600566827</v>
      </c>
      <c r="I11" s="153">
        <f t="shared" si="4"/>
        <v>626.48235000000011</v>
      </c>
      <c r="J11" s="153">
        <f t="shared" si="4"/>
        <v>733.18755723715901</v>
      </c>
      <c r="K11" s="154">
        <f t="shared" si="4"/>
        <v>857.8294419674761</v>
      </c>
      <c r="L11" s="127"/>
    </row>
    <row r="12" spans="2:13" x14ac:dyDescent="0.35">
      <c r="B12" s="176"/>
      <c r="C12" s="159"/>
      <c r="D12" s="159"/>
      <c r="E12" s="159"/>
      <c r="F12" s="159"/>
      <c r="G12" s="88"/>
      <c r="H12" s="88"/>
      <c r="I12" s="88"/>
      <c r="J12" s="88"/>
      <c r="K12" s="88"/>
      <c r="L12" s="87"/>
    </row>
    <row r="13" spans="2:13" ht="30" customHeight="1" x14ac:dyDescent="0.35">
      <c r="B13" s="172" t="s">
        <v>224</v>
      </c>
      <c r="C13" s="160">
        <v>1.5</v>
      </c>
      <c r="D13" s="161">
        <f>C13</f>
        <v>1.5</v>
      </c>
      <c r="E13" s="161">
        <f>D13</f>
        <v>1.5</v>
      </c>
      <c r="F13" s="161">
        <f t="shared" ref="F13:J13" si="5">E13</f>
        <v>1.5</v>
      </c>
      <c r="G13" s="161">
        <f t="shared" si="5"/>
        <v>1.5</v>
      </c>
      <c r="H13" s="161">
        <f t="shared" si="5"/>
        <v>1.5</v>
      </c>
      <c r="I13" s="161">
        <f t="shared" si="5"/>
        <v>1.5</v>
      </c>
      <c r="J13" s="161">
        <f t="shared" si="5"/>
        <v>1.5</v>
      </c>
      <c r="K13" s="148">
        <f>J13</f>
        <v>1.5</v>
      </c>
      <c r="L13" s="87" t="s">
        <v>221</v>
      </c>
    </row>
    <row r="14" spans="2:13" ht="30" customHeight="1" x14ac:dyDescent="0.35">
      <c r="B14" s="173" t="s">
        <v>157</v>
      </c>
      <c r="C14" s="166">
        <f>C11*C13+C12</f>
        <v>367.68364555295807</v>
      </c>
      <c r="D14" s="167">
        <f>D11*D13+D12</f>
        <v>428.7372071921568</v>
      </c>
      <c r="E14" s="167">
        <f t="shared" ref="E14:J14" si="6">E11*E13+E12</f>
        <v>501.62253241482341</v>
      </c>
      <c r="F14" s="167">
        <f t="shared" si="6"/>
        <v>586.89836292534335</v>
      </c>
      <c r="G14" s="153">
        <f t="shared" si="6"/>
        <v>686.67108462265173</v>
      </c>
      <c r="H14" s="153">
        <f t="shared" si="6"/>
        <v>803.40516900850241</v>
      </c>
      <c r="I14" s="153">
        <f t="shared" si="6"/>
        <v>939.72352500000011</v>
      </c>
      <c r="J14" s="153">
        <f t="shared" si="6"/>
        <v>1099.7813358557385</v>
      </c>
      <c r="K14" s="154">
        <f>K11*K13+K12</f>
        <v>1286.7441629512141</v>
      </c>
      <c r="L14" s="87"/>
    </row>
    <row r="15" spans="2:13" x14ac:dyDescent="0.35">
      <c r="B15" s="171"/>
      <c r="C15" s="88"/>
      <c r="D15" s="88"/>
      <c r="E15" s="88"/>
      <c r="F15" s="88"/>
      <c r="G15" s="88"/>
      <c r="H15" s="88"/>
      <c r="I15" s="88"/>
      <c r="J15" s="88"/>
      <c r="K15" s="88"/>
      <c r="L15" s="87"/>
    </row>
    <row r="16" spans="2:13" ht="30" customHeight="1" x14ac:dyDescent="0.35">
      <c r="B16" s="172" t="s">
        <v>223</v>
      </c>
      <c r="C16" s="94">
        <v>460</v>
      </c>
      <c r="D16" s="95">
        <f t="shared" ref="D16:J16" si="7">($K16-$C16)/($K$4-$C$4)*(D$4-$C$4)+$C16</f>
        <v>441.875</v>
      </c>
      <c r="E16" s="95">
        <f t="shared" si="7"/>
        <v>423.75</v>
      </c>
      <c r="F16" s="95">
        <f t="shared" si="7"/>
        <v>405.625</v>
      </c>
      <c r="G16" s="95">
        <f t="shared" si="7"/>
        <v>387.5</v>
      </c>
      <c r="H16" s="95">
        <f t="shared" si="7"/>
        <v>369.375</v>
      </c>
      <c r="I16" s="95">
        <f t="shared" si="7"/>
        <v>351.25</v>
      </c>
      <c r="J16" s="95">
        <f t="shared" si="7"/>
        <v>333.125</v>
      </c>
      <c r="K16" s="96">
        <v>315</v>
      </c>
      <c r="L16" s="87" t="s">
        <v>222</v>
      </c>
    </row>
    <row r="17" spans="2:15" ht="30" customHeight="1" x14ac:dyDescent="0.35">
      <c r="B17" s="174" t="s">
        <v>158</v>
      </c>
      <c r="C17" s="99">
        <f>C14*C16/1000</f>
        <v>169.13447695436074</v>
      </c>
      <c r="D17" s="100">
        <f>D14*D16/1000</f>
        <v>189.44825342803429</v>
      </c>
      <c r="E17" s="100">
        <f>E14*E16/1000</f>
        <v>212.56254811078142</v>
      </c>
      <c r="F17" s="100">
        <f t="shared" ref="F17:K17" si="8">F14*F16/1000</f>
        <v>238.06064846159239</v>
      </c>
      <c r="G17" s="100">
        <f t="shared" si="8"/>
        <v>266.08504529127754</v>
      </c>
      <c r="H17" s="100">
        <f>H14*H16/1000</f>
        <v>296.75778430251557</v>
      </c>
      <c r="I17" s="100">
        <f t="shared" si="8"/>
        <v>330.07788815625008</v>
      </c>
      <c r="J17" s="100">
        <f t="shared" si="8"/>
        <v>366.36465750694288</v>
      </c>
      <c r="K17" s="101">
        <f t="shared" si="8"/>
        <v>405.32441132963243</v>
      </c>
      <c r="L17" s="87"/>
    </row>
    <row r="18" spans="2:15" ht="30" customHeight="1" x14ac:dyDescent="0.35">
      <c r="B18" s="175" t="s">
        <v>159</v>
      </c>
      <c r="C18" s="102">
        <v>0.35</v>
      </c>
      <c r="D18" s="103">
        <f t="shared" ref="D18:J18" si="9">($K18-$C18)/($K$4-$C$4)*(D$4-$C$4)+$C18</f>
        <v>0.35</v>
      </c>
      <c r="E18" s="103">
        <f t="shared" si="9"/>
        <v>0.35</v>
      </c>
      <c r="F18" s="103">
        <f t="shared" si="9"/>
        <v>0.35</v>
      </c>
      <c r="G18" s="103">
        <f t="shared" si="9"/>
        <v>0.35</v>
      </c>
      <c r="H18" s="103">
        <f t="shared" si="9"/>
        <v>0.35</v>
      </c>
      <c r="I18" s="103">
        <f t="shared" si="9"/>
        <v>0.35</v>
      </c>
      <c r="J18" s="103">
        <f t="shared" si="9"/>
        <v>0.35</v>
      </c>
      <c r="K18" s="104">
        <v>0.35</v>
      </c>
      <c r="L18" s="87" t="s">
        <v>221</v>
      </c>
      <c r="O18" s="87"/>
    </row>
    <row r="19" spans="2:15" ht="30" customHeight="1" x14ac:dyDescent="0.35">
      <c r="B19" s="173" t="s">
        <v>160</v>
      </c>
      <c r="C19" s="168">
        <f>C18*C17</f>
        <v>59.197066934026253</v>
      </c>
      <c r="D19" s="169">
        <f t="shared" ref="D19:K19" si="10">D18*D17</f>
        <v>66.306888699811992</v>
      </c>
      <c r="E19" s="169">
        <f t="shared" si="10"/>
        <v>74.396891838773499</v>
      </c>
      <c r="F19" s="169">
        <f t="shared" si="10"/>
        <v>83.321226961557329</v>
      </c>
      <c r="G19" s="169">
        <f t="shared" si="10"/>
        <v>93.129765851947127</v>
      </c>
      <c r="H19" s="169">
        <f t="shared" si="10"/>
        <v>103.86522450588045</v>
      </c>
      <c r="I19" s="169">
        <f t="shared" si="10"/>
        <v>115.52726085468753</v>
      </c>
      <c r="J19" s="169">
        <f t="shared" si="10"/>
        <v>128.22763012742999</v>
      </c>
      <c r="K19" s="170">
        <f t="shared" si="10"/>
        <v>141.86354396537135</v>
      </c>
      <c r="L19" s="87"/>
      <c r="O19" s="87"/>
    </row>
    <row r="20" spans="2:15" x14ac:dyDescent="0.35">
      <c r="B20" s="171"/>
      <c r="C20" s="88"/>
      <c r="D20" s="88"/>
      <c r="E20" s="88"/>
      <c r="F20" s="88"/>
      <c r="G20" s="88"/>
      <c r="H20" s="88"/>
      <c r="I20" s="88"/>
      <c r="J20" s="88"/>
      <c r="K20" s="88"/>
      <c r="L20" s="87"/>
      <c r="O20" s="87"/>
    </row>
    <row r="21" spans="2:15" ht="30" customHeight="1" x14ac:dyDescent="0.35">
      <c r="B21" s="177" t="s">
        <v>161</v>
      </c>
      <c r="C21" s="105">
        <f>C17+C19</f>
        <v>228.33154388838699</v>
      </c>
      <c r="D21" s="106">
        <f t="shared" ref="D21:J21" si="11">D17+D19</f>
        <v>255.75514212784628</v>
      </c>
      <c r="E21" s="106">
        <f t="shared" si="11"/>
        <v>286.95943994955491</v>
      </c>
      <c r="F21" s="106">
        <f t="shared" si="11"/>
        <v>321.38187542314972</v>
      </c>
      <c r="G21" s="106">
        <f t="shared" si="11"/>
        <v>359.21481114322467</v>
      </c>
      <c r="H21" s="106">
        <f t="shared" si="11"/>
        <v>400.62300880839604</v>
      </c>
      <c r="I21" s="106">
        <f t="shared" si="11"/>
        <v>445.60514901093762</v>
      </c>
      <c r="J21" s="106">
        <f t="shared" si="11"/>
        <v>494.59228763437284</v>
      </c>
      <c r="K21" s="107">
        <f>K17+K19</f>
        <v>547.1879552950038</v>
      </c>
      <c r="L21" s="87"/>
    </row>
    <row r="24" spans="2:15" x14ac:dyDescent="0.35">
      <c r="B24" s="178"/>
    </row>
    <row r="26" spans="2:15" x14ac:dyDescent="0.35">
      <c r="B26" s="179"/>
    </row>
    <row r="27" spans="2:15" x14ac:dyDescent="0.35">
      <c r="B27" s="179"/>
    </row>
    <row r="29" spans="2:15" x14ac:dyDescent="0.35">
      <c r="B29" s="179"/>
    </row>
  </sheetData>
  <mergeCells count="1">
    <mergeCell ref="D2:F2"/>
  </mergeCells>
  <pageMargins left="0.7" right="0.7" top="0.75" bottom="0.75" header="0.3" footer="0.3"/>
  <pageSetup paperSize="9" orientation="portrait" r:id="rId1"/>
  <ignoredErrors>
    <ignoredError sqref="D17:J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TSP</vt:lpstr>
      <vt:lpstr>Borderstep</vt:lpstr>
      <vt:lpstr>Greenpeace Ch</vt:lpstr>
      <vt:lpstr>Ni Ch</vt:lpstr>
      <vt:lpstr>DCByte</vt:lpstr>
      <vt:lpstr>LBNL US</vt:lpstr>
      <vt:lpstr>IEA</vt:lpstr>
      <vt:lpstr>Deloitte</vt:lpstr>
      <vt:lpstr>McKinsey Eu</vt:lpstr>
      <vt:lpstr>McKinsey</vt:lpstr>
      <vt:lpstr>Goldman Sachs</vt:lpstr>
      <vt:lpstr>BCG SEA</vt:lpstr>
      <vt:lpstr>SemiAnalysis</vt:lpstr>
      <vt:lpstr>Jefferies</vt:lpstr>
      <vt:lpstr>Schroders</vt:lpstr>
      <vt:lpstr>References</vt:lpstr>
      <vt:lpstr>Graphique</vt:lpstr>
      <vt:lpstr>Graphiques état des lieux</vt:lpstr>
      <vt:lpstr>Calculette GES à partir TWh</vt:lpstr>
      <vt:lpstr>Traj GES à partir GW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TSP</dc:creator>
  <cp:lastModifiedBy>Marlène de Bank</cp:lastModifiedBy>
  <cp:revision>2</cp:revision>
  <dcterms:created xsi:type="dcterms:W3CDTF">2021-12-10T09:09:31Z</dcterms:created>
  <dcterms:modified xsi:type="dcterms:W3CDTF">2025-03-07T12:28:33Z</dcterms:modified>
</cp:coreProperties>
</file>