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Default Extension="jpg" ContentType="image/jpeg"/>
  <Default Extension="bin" ContentType="application/vnd.openxmlformats-officedocument.oleObject"/>
  <Override PartName="/xl/charts/colors2.xml" ContentType="application/vnd.ms-office.chartcolorstyle+xml"/>
  <Override PartName="/xl/charts/style6.xml" ContentType="application/vnd.ms-office.chartstyle+xml"/>
  <Override PartName="/xl/charts/colors7.xml" ContentType="application/vnd.ms-office.chartcolorstyle+xml"/>
  <Override PartName="/xl/charts/style4.xml" ContentType="application/vnd.ms-office.chartstyle+xml"/>
  <Override PartName="/xl/charts/style5.xml" ContentType="application/vnd.ms-office.chartstyle+xml"/>
  <Override PartName="/xl/charts/colors5.xml" ContentType="application/vnd.ms-office.chartcolorstyle+xml"/>
  <Override PartName="/xl/charts/style3.xml" ContentType="application/vnd.ms-office.chartstyle+xml"/>
  <Override PartName="/xl/charts/colors8.xml" ContentType="application/vnd.ms-office.chartcolorstyle+xml"/>
  <Override PartName="/xl/charts/style9.xml" ContentType="application/vnd.ms-office.chartstyle+xml"/>
  <Override PartName="/xl/charts/colors4.xml" ContentType="application/vnd.ms-office.chartcolorstyle+xml"/>
  <Override PartName="/xl/charts/style8.xml" ContentType="application/vnd.ms-office.chartstyle+xml"/>
  <Override PartName="/xl/charts/colors6.xml" ContentType="application/vnd.ms-office.chartcolorstyle+xml"/>
  <Override PartName="/xl/charts/colors1.xml" ContentType="application/vnd.ms-office.chartcolorstyle+xml"/>
  <Override PartName="/xl/charts/style1.xml" ContentType="application/vnd.ms-office.chartstyle+xml"/>
  <Override PartName="/xl/charts/style7.xml" ContentType="application/vnd.ms-office.chartstyle+xml"/>
  <Override PartName="/xl/charts/colors9.xml" ContentType="application/vnd.ms-office.chartcolorstyle+xml"/>
  <Override PartName="/xl/charts/colors3.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4="http://schemas.microsoft.com/office/spreadsheetml/2009/9/main"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4" lowestEdited="4" rupBuild="9302"/>
  <workbookPr/>
  <bookViews>
    <workbookView xWindow="360" yWindow="15" windowWidth="20955" windowHeight="9720" firstSheet="5" activeTab="10"/>
  </bookViews>
  <sheets>
    <sheet name="Input - Hyp CAGR MetaMetaverse" sheetId="1" r:id="rId1"/>
    <sheet name="Update Scenarios" sheetId="2" r:id="rId2"/>
    <sheet name="DATA Conservative" sheetId="3" r:id="rId3"/>
    <sheet name="Conservative" sheetId="4" r:id="rId4"/>
    <sheet name="DATA Growth" sheetId="5" r:id="rId5"/>
    <sheet name="Growth" sheetId="6" r:id="rId6"/>
    <sheet name="DATA MetaMetaverse" sheetId="7" r:id="rId7"/>
    <sheet name="MetaMetaverse" sheetId="8" r:id="rId8"/>
    <sheet name="DATA Meta-conf" sheetId="9" state="hidden" r:id="rId9"/>
    <sheet name="Meta-conf" sheetId="10" state="hidden" r:id="rId10"/>
    <sheet name="Output - Graphiques" sheetId="11" r:id="rId11"/>
    <sheet name="Feuil1" sheetId="12" r:id="rId12"/>
    <sheet name="DATA 2" sheetId="13" state="hidden" r:id="rId13"/>
    <sheet name="2 Growth" sheetId="14" state="hidden" r:id="rId14"/>
  </sheets>
  <definedNames/>
  <calcPr fullCalcOnLoad="1"/>
</workbook>
</file>

<file path=xl/sharedStrings.xml><?xml version="1.0" encoding="utf-8"?>
<sst xmlns="http://schemas.openxmlformats.org/spreadsheetml/2006/main" count="4093" uniqueCount="417">
  <si>
    <t xml:space="preserve">Consumer devices </t>
  </si>
  <si>
    <t>Conservative</t>
  </si>
  <si>
    <t>Growth</t>
  </si>
  <si>
    <t>Meta-metaverse</t>
  </si>
  <si>
    <t>Méta-conférence</t>
  </si>
  <si>
    <t>VR headsets</t>
  </si>
  <si>
    <t>CAGR 2019-2025</t>
  </si>
  <si>
    <t>CAGR 2025-2030</t>
  </si>
  <si>
    <t>CAGR 2023-2025</t>
  </si>
  <si>
    <t>CAGR 2023-2030</t>
  </si>
  <si>
    <t>Devices Production (in millions of units)</t>
  </si>
  <si>
    <r>
      <t>Production GHG Intensity (in kgCO</t>
    </r>
    <r>
      <rPr>
        <vertAlign val="subscript"/>
        <sz val="11"/>
        <color rgb="FF002060"/>
        <rFont val="Calibri"/>
        <family val="2"/>
        <scheme val="minor"/>
      </rPr>
      <t>2</t>
    </r>
    <r>
      <rPr>
        <sz val="11"/>
        <color rgb="FF002060"/>
        <rFont val="Calibri"/>
        <family val="2"/>
        <scheme val="minor"/>
      </rPr>
      <t>e/unit)</t>
    </r>
  </si>
  <si>
    <t>Production Energy Intensity (in kWh/unit)</t>
  </si>
  <si>
    <t>Connected Devices (in millions of units)</t>
  </si>
  <si>
    <t>Connected Devices Unitary Elec. Cons. (in kwh/year)</t>
  </si>
  <si>
    <t>IOT modules</t>
  </si>
  <si>
    <t>IP cameras</t>
  </si>
  <si>
    <t>Networks and data centers</t>
  </si>
  <si>
    <t xml:space="preserve">Growth </t>
  </si>
  <si>
    <t xml:space="preserve">Traffic fixed wired (EB) </t>
  </si>
  <si>
    <t xml:space="preserve">Traffic fixed wifi (EB) </t>
  </si>
  <si>
    <t xml:space="preserve">Traffic mobile (EB) </t>
  </si>
  <si>
    <t xml:space="preserve">Traffic Hyperscale (EB) </t>
  </si>
  <si>
    <t xml:space="preserve">Traffic Others (EB) </t>
  </si>
  <si>
    <r>
      <t xml:space="preserve">Hypothesis : The Meta-metaverse scenario is linked to the conservative scenario from 2023 onwards, </t>
    </r>
    <r>
      <rPr>
        <sz val="11"/>
        <color rgb="FF00B0F0"/>
        <rFont val="Calibri"/>
        <family val="2"/>
        <scheme val="minor"/>
      </rPr>
      <t xml:space="preserve">except the update for mobile networks </t>
    </r>
  </si>
  <si>
    <t xml:space="preserve">Precaution of use : in this excel file, relative results (e.g. % of total GHG emissions) should not be used, because the reference values for 2023-2030 period have not been updated. </t>
  </si>
  <si>
    <t>Update for mobile networks</t>
  </si>
  <si>
    <t>CAGR 2019-2023</t>
  </si>
  <si>
    <t>CAGR 2021-2023, reduced as volume 2023 is 11,2 millions [https://www.statista.com/statistics/677096/vr-headsets-worldwide/]</t>
  </si>
  <si>
    <t>CAGR 2021-2023, reduced as volume 2023 is 25,82 millions [https://www.statista.com/statistics/677096/vr-headsets-worldwide/]</t>
  </si>
  <si>
    <t>Smartphones</t>
  </si>
  <si>
    <t xml:space="preserve">~8,2 billion in 2030 </t>
  </si>
  <si>
    <t>[https://www.itu.int/itu-d/meetings/statistics/wp-content/uploads/sites/8/2022/04/UniversalMeaningfulDigitalConnectivityTargets2030.pdf] [https://www.un.org/en/global-issues/population]</t>
  </si>
  <si>
    <t>Smart speakers</t>
  </si>
  <si>
    <t>Conservative, Growth</t>
  </si>
  <si>
    <t>CAGR 2023-2023</t>
  </si>
  <si>
    <t>12% for fixed wired and fixed wifi [Ericsson Mobility Report, 11/2023, https://www.ericsson.com/en/reports-and-papers/mobility-report/reports/november-2023, p38]</t>
  </si>
  <si>
    <t>23% for mobile [Ericsson Mobility Report, 11/2023, https://www.ericsson.com/en/reports-and-papers/mobility-report/reports/november-2023, p38]</t>
  </si>
  <si>
    <t xml:space="preserve">Traffic fixed wired (TWh/EB) </t>
  </si>
  <si>
    <t xml:space="preserve">hypothesis (possibility to compare with TSP GT Networks, and ADEME Networks studies) </t>
  </si>
  <si>
    <t xml:space="preserve">Traffic fixed wifi (TWh/EB) </t>
  </si>
  <si>
    <t xml:space="preserve">Traffic mobile (TWh/EB) </t>
  </si>
  <si>
    <t>Update section Global energy and electricity</t>
  </si>
  <si>
    <t>Reduction of GHG intensity of electricity (in kgCO2/kWh) 2025-2030</t>
  </si>
  <si>
    <t>Conservative: data</t>
  </si>
  <si>
    <t>Global Data</t>
  </si>
  <si>
    <t>Global Energy and Electricity</t>
  </si>
  <si>
    <t>2025-2030</t>
  </si>
  <si>
    <t>Refs &amp; hyp up to 2025</t>
  </si>
  <si>
    <t>Global electricity usage (in Twh)</t>
  </si>
  <si>
    <t>utilisé seulement pour faire des %</t>
  </si>
  <si>
    <t>IEA to 2017 then 2,1% growth (WEO 2019 stated policies scenario)</t>
  </si>
  <si>
    <t>Global electricity production (in Twh)</t>
  </si>
  <si>
    <t>Primary energy consumption for electricity production</t>
  </si>
  <si>
    <t>Ratio primary energy consumption per electricity used</t>
  </si>
  <si>
    <t>Global Primary Energy consumption (in EJoule)</t>
  </si>
  <si>
    <t>utilisé ligne ci-dessous -&gt; % seulement</t>
  </si>
  <si>
    <t>BP to 2019 and 2020 (trend) then stability (IEA sustainable scenario)</t>
  </si>
  <si>
    <t>Global Primary Energy consumption (in Twh)</t>
  </si>
  <si>
    <t>Global final energy consumption (in Mtoe)</t>
  </si>
  <si>
    <t>IEA to 2017, then 1,3% growth</t>
  </si>
  <si>
    <t>Global final energy consumption (in Twh)</t>
  </si>
  <si>
    <r>
      <t>GHG emissions (in MtCO</t>
    </r>
    <r>
      <rPr>
        <b/>
        <vertAlign val="subscript"/>
        <sz val="11"/>
        <color theme="0" tint="0.7999500036239624"/>
        <rFont val="Calibri"/>
        <family val="2"/>
      </rPr>
      <t>2</t>
    </r>
    <r>
      <rPr>
        <b/>
        <sz val="11"/>
        <color theme="0" tint="0.7999799847602844"/>
        <rFont val="Calibri"/>
        <family val="2"/>
      </rPr>
      <t>e)</t>
    </r>
  </si>
  <si>
    <t>UNEP emission gap report 2019 to 2018 then personal forecast</t>
  </si>
  <si>
    <t>Energy related GHG emissions (in MtCO2e)</t>
  </si>
  <si>
    <t>non utilisée</t>
  </si>
  <si>
    <t>GHG intensity of primary energy ( in kgCO2/kWh)</t>
  </si>
  <si>
    <t>GHG intensity of electricity (in kgCO2/kWh)</t>
  </si>
  <si>
    <t>Conservative Data</t>
  </si>
  <si>
    <t>Production Phase : Devices Production (in millions of units)</t>
  </si>
  <si>
    <t>cagr 2013 2017</t>
  </si>
  <si>
    <t>cagr 2019 2023</t>
  </si>
  <si>
    <t>cagr 2023 2025</t>
  </si>
  <si>
    <t>cagr 2025 2030</t>
  </si>
  <si>
    <t>Desktops</t>
  </si>
  <si>
    <t>2017 et suivantes: IDC forecast 2018</t>
  </si>
  <si>
    <t>Monitors</t>
  </si>
  <si>
    <t>2018 à 2021 statista</t>
  </si>
  <si>
    <t>Laptops</t>
  </si>
  <si>
    <t>Printers</t>
  </si>
  <si>
    <t>2019 statista; then stability</t>
  </si>
  <si>
    <t>Residential wifi cpe</t>
  </si>
  <si>
    <t>ABI , IHS</t>
  </si>
  <si>
    <t>2013 to 2019, 2022 et 2023 : statista 2020, IDC 2021</t>
  </si>
  <si>
    <t>Tablets</t>
  </si>
  <si>
    <t>2013 to 2019 Gartner, then trends from IDC and self-made</t>
  </si>
  <si>
    <t>Ordinary mobile phones</t>
  </si>
  <si>
    <t>2018, 2019, 2020, 2024: IDC; 2013 to 2016 Gartner</t>
  </si>
  <si>
    <t>IoT modules</t>
  </si>
  <si>
    <t>EDNA</t>
  </si>
  <si>
    <t>TV</t>
  </si>
  <si>
    <t xml:space="preserve">future source 2013 to 2019, then 1% growth (digitimes) </t>
  </si>
  <si>
    <t>STB &amp; media streamers</t>
  </si>
  <si>
    <t>Resarch and Markets</t>
  </si>
  <si>
    <t>Game consoles</t>
  </si>
  <si>
    <t>futuresource, idc, counterpoint</t>
  </si>
  <si>
    <t>A/V Receivers and Players</t>
  </si>
  <si>
    <t>hf</t>
  </si>
  <si>
    <t>x</t>
  </si>
  <si>
    <t>IDC forecast 2020 2024</t>
  </si>
  <si>
    <t>Canalys 2018 2020</t>
  </si>
  <si>
    <t>Public display screens</t>
  </si>
  <si>
    <t xml:space="preserve">2013 2020 IHS (2019=65"); </t>
  </si>
  <si>
    <t>statista 2014 2019; global market insights 2025 (20% cagr)</t>
  </si>
  <si>
    <t>Total</t>
  </si>
  <si>
    <t>Production Phase : Production GHG Intensity (in kgCO2/unit)</t>
  </si>
  <si>
    <t>hp, dell</t>
  </si>
  <si>
    <t>Umwelt bundesamt Influence of the service life of products interms of their environmental impact:Establishing an information base anddeveloping strategies against "obsolescence"</t>
  </si>
  <si>
    <t>ademe + prise en compte équipts business</t>
  </si>
  <si>
    <t>ademe, cge</t>
  </si>
  <si>
    <t>öko institut, Resource Efficiency in the ICT Sector Final Report, November 2016</t>
  </si>
  <si>
    <t>ademe</t>
  </si>
  <si>
    <t>d'après UCL, Orange</t>
  </si>
  <si>
    <t>Statista: the global average for LCD television screen size is forecasted to reach 45.2 inches in 2018. Average LCD TV screen size increased by nearly five inches between 2015 and 2018, with this trend towards bigger TVs expected to continue in the coming years.; ademe: delta ced = 60% *(delta size) au carré</t>
  </si>
  <si>
    <t>d'après ademe</t>
  </si>
  <si>
    <t>d'après Ademe</t>
  </si>
  <si>
    <t>Ademe</t>
  </si>
  <si>
    <t>andrae</t>
  </si>
  <si>
    <t>apple, huawei</t>
  </si>
  <si>
    <t>google</t>
  </si>
  <si>
    <t>Production Phase : Production Energy Intensity (in kWh/unit)</t>
  </si>
  <si>
    <t>ADEME valeur 2018</t>
  </si>
  <si>
    <t>Ademe, Andrae</t>
  </si>
  <si>
    <t>REN 2018-20%</t>
  </si>
  <si>
    <t>andrae 2017</t>
  </si>
  <si>
    <t>cge 2019 - 30%</t>
  </si>
  <si>
    <t>Run Phase : Connected Devices (in millions of units)</t>
  </si>
  <si>
    <t>Cisco + hf</t>
  </si>
  <si>
    <t>Green IT / IHS; hf</t>
  </si>
  <si>
    <t>Cisco +hf</t>
  </si>
  <si>
    <t>Green IT</t>
  </si>
  <si>
    <t>cisco</t>
  </si>
  <si>
    <t>forrester 325 2013, 650 2015</t>
  </si>
  <si>
    <t>Cisco wp 2018 2023</t>
  </si>
  <si>
    <t>from IOT analytics</t>
  </si>
  <si>
    <t>statista, +1600 en 2015, tv households; 1,5 per household</t>
  </si>
  <si>
    <t>strategy analytics 2018</t>
  </si>
  <si>
    <t>ovum  ;  https://www.statista.com/statistics/697187/installed-base-of-sony-and-microsoft-game-consoles/</t>
  </si>
  <si>
    <t>statista</t>
  </si>
  <si>
    <t>canalys; https://techcrunch.com/2019/04/15/smart-speakers-installed-base-to-top-200-million-by-year-end/</t>
  </si>
  <si>
    <t>https://iotbusinessnews.com/2020/06/01/19051-shipments-of-connected-digital-signs-will-reach-32-8-million-units-in-2024/</t>
  </si>
  <si>
    <t>ihs 2018</t>
  </si>
  <si>
    <t>Run Phase : Connected Devices Unitary Elec. Cons. 
(in kwh/year)</t>
  </si>
  <si>
    <t>REN</t>
  </si>
  <si>
    <t>cge avec intégration pro</t>
  </si>
  <si>
    <t>RTE, CGE 170: edna 13,5*8760=118</t>
  </si>
  <si>
    <t>CGE: 4; REN: 6</t>
  </si>
  <si>
    <t>average CGE and öko institut, Resource Efficiency in the ICT Sector Final Report, November 2016</t>
  </si>
  <si>
    <t>TSP 2018</t>
  </si>
  <si>
    <t>cge 180; ademe 250; +3% après 2019 car taille écran et standard&gt;temps écran</t>
  </si>
  <si>
    <t>cge</t>
  </si>
  <si>
    <t>playstation 4</t>
  </si>
  <si>
    <t>hf + ademe</t>
  </si>
  <si>
    <t>Leng</t>
  </si>
  <si>
    <t>Apple homepod</t>
  </si>
  <si>
    <t>edna adapté</t>
  </si>
  <si>
    <t>Traffic (in Exabytes)</t>
  </si>
  <si>
    <t>fixed traffic</t>
  </si>
  <si>
    <t>Fixed Wired Networks</t>
  </si>
  <si>
    <t>cagr 2023-2029</t>
  </si>
  <si>
    <t>E// november 2023 report</t>
  </si>
  <si>
    <t>Fixed WIFI Networks</t>
  </si>
  <si>
    <t>factor</t>
  </si>
  <si>
    <t>Total Fixed Networks</t>
  </si>
  <si>
    <t>total 2029</t>
  </si>
  <si>
    <t>Mobile Networks</t>
  </si>
  <si>
    <t>TOTAL Networks</t>
  </si>
  <si>
    <t>Hyperdatacenters</t>
  </si>
  <si>
    <t>Other data centers</t>
  </si>
  <si>
    <t>TOTAL Data Centers</t>
  </si>
  <si>
    <t>Infrastructure Energy Efficiency (in TWh/EB)</t>
  </si>
  <si>
    <t>Other Data Centers</t>
  </si>
  <si>
    <t>Networks</t>
  </si>
  <si>
    <t>Efficacité énergétique en TWh/EB en 2019</t>
  </si>
  <si>
    <t>Andrae 2015</t>
  </si>
  <si>
    <t>Andrae 2017</t>
  </si>
  <si>
    <t>Andrae 2019</t>
  </si>
  <si>
    <t>Andrae 2020</t>
  </si>
  <si>
    <t>IEA 2017</t>
  </si>
  <si>
    <t>Sénat 2020</t>
  </si>
  <si>
    <t>Green IT 2019</t>
  </si>
  <si>
    <t>Lean ICT 2020</t>
  </si>
  <si>
    <t>Ericsson mob report</t>
  </si>
  <si>
    <t>2G</t>
  </si>
  <si>
    <t>2019 Q1+Q2+Q3</t>
  </si>
  <si>
    <t>3G</t>
  </si>
  <si>
    <t>2023 Q1+Q2+Q3</t>
  </si>
  <si>
    <t>4G</t>
  </si>
  <si>
    <t>5G (2021)</t>
  </si>
  <si>
    <t>CAGR 2019 2023</t>
  </si>
  <si>
    <t>Fixed</t>
  </si>
  <si>
    <t>Wifi</t>
  </si>
  <si>
    <t>Yearly improvement</t>
  </si>
  <si>
    <t xml:space="preserve">dépend du mix 2G/3G/4G et couverture géo: 75/80% du trafic est 4G en 2019, 90% en France. </t>
  </si>
  <si>
    <t xml:space="preserve">EE Mobile </t>
  </si>
  <si>
    <t>Trafic mobile 2019,  cisco 2019, EB</t>
  </si>
  <si>
    <t>dépend du mix fibre/cuivre</t>
  </si>
  <si>
    <t>EE Fixe</t>
  </si>
  <si>
    <t>Trafic total 2019, cisco 2018, EB</t>
  </si>
  <si>
    <t xml:space="preserve">EE total </t>
  </si>
  <si>
    <t>Trafic fixe 2019</t>
  </si>
  <si>
    <t xml:space="preserve"> le trafic mobile a augmenté plus vite en France qu'en moyenne mondiale</t>
  </si>
  <si>
    <t>Delta EE Mobile</t>
  </si>
  <si>
    <t>10;30</t>
  </si>
  <si>
    <t>Delta EE fixe</t>
  </si>
  <si>
    <t>Electricity Intensity of Internet Data transmission</t>
  </si>
  <si>
    <t>Taux de croissance trafic mobile 2013 2019</t>
  </si>
  <si>
    <t>Consommation électrique TWh en 2019</t>
  </si>
  <si>
    <t>ING</t>
  </si>
  <si>
    <t>IEA 2020</t>
  </si>
  <si>
    <t>Cisco monde: 16; 348</t>
  </si>
  <si>
    <t>Ericsson monde:  24 ; 396</t>
  </si>
  <si>
    <t>arcep France</t>
  </si>
  <si>
    <t>Taux de croissance trafic mobile 2016 2019</t>
  </si>
  <si>
    <t>Mobile</t>
  </si>
  <si>
    <t>Fixe</t>
  </si>
  <si>
    <t>cisco monde: 86;348</t>
  </si>
  <si>
    <t>ericsson monde: 106; 396</t>
  </si>
  <si>
    <t>Prévisions 2020 2030</t>
  </si>
  <si>
    <t>cagr 20 23</t>
  </si>
  <si>
    <t xml:space="preserve">Cisco </t>
  </si>
  <si>
    <t>Ericsson</t>
  </si>
  <si>
    <t>ITU 2015 a</t>
  </si>
  <si>
    <t>ITU 2015 b</t>
  </si>
  <si>
    <t>ITU 2015 c</t>
  </si>
  <si>
    <t>Yang Fengyi said that in 2018, the mobile base stations of the three operators consumed</t>
  </si>
  <si>
    <t>about 27 billion kwh of electricity</t>
  </si>
  <si>
    <t>cisco vni : 2017 mob = 2*12=24 EB; 55% cagr</t>
  </si>
  <si>
    <t>2018 mob= 24*1,55= 37,2</t>
  </si>
  <si>
    <t>conso réseaux mobiles = (stations)/0,65= 41,5</t>
  </si>
  <si>
    <t>EE mobile = 41,5/37,2 = 1,1</t>
  </si>
  <si>
    <t>Data centers</t>
  </si>
  <si>
    <t>Borderstep</t>
  </si>
  <si>
    <t xml:space="preserve">Green IT </t>
  </si>
  <si>
    <t>Sénat</t>
  </si>
  <si>
    <t>EE 2019</t>
  </si>
  <si>
    <t>Gain EE historique</t>
  </si>
  <si>
    <t>Gain EE futur</t>
  </si>
  <si>
    <t>delta conso futur %</t>
  </si>
  <si>
    <t>Cisco GCI 2018</t>
  </si>
  <si>
    <t>Traffic within hyperscale data centers will quadruple by 2021. Hyperscale data centers already account for 39 percent of total traffic within all data centers and will account for 55 percent by 2021.</t>
  </si>
  <si>
    <t>Total traffic</t>
  </si>
  <si>
    <t>val 2013 retouchée</t>
  </si>
  <si>
    <t>Hyperscale traffic</t>
  </si>
  <si>
    <t>Traditional traffic</t>
  </si>
  <si>
    <t>Hyperscale %</t>
  </si>
  <si>
    <t>cagr hyperscale traffic 2016 2021 = 34%; cagr 2018 2021: 30%</t>
  </si>
  <si>
    <t>EE hyperscale:   cagr 2014 2019: 15% cagr 2016 2021: 9%</t>
  </si>
  <si>
    <t>conso hyperscale: IEA 2020: 2019 = 70; 2010= 10; cagr 24,1%</t>
  </si>
  <si>
    <t>cagr traditional traffic 2016 2021  = 17% cagr 2018 2021: 13%</t>
  </si>
  <si>
    <t>EE traditional: cagr 2014 2019: 14% cagr 2016 2019: 11%</t>
  </si>
  <si>
    <t xml:space="preserve">conso traditional </t>
  </si>
  <si>
    <t>cagr 2014 2019</t>
  </si>
  <si>
    <t>conso borderstep</t>
  </si>
  <si>
    <t xml:space="preserve">ee borderstep </t>
  </si>
  <si>
    <t>delta ee</t>
  </si>
  <si>
    <t>cagr 2015-2019 = 17%</t>
  </si>
  <si>
    <t>Greenpeace data centers China</t>
  </si>
  <si>
    <t>cagr 2018 2023</t>
  </si>
  <si>
    <t>Borderstep Europe</t>
  </si>
  <si>
    <t>Borderstep 2019; cagr 10% 2015-2017</t>
  </si>
  <si>
    <t xml:space="preserve"> Shebabi US </t>
  </si>
  <si>
    <t>RoW (India, Japan, Aus NZ, Singapore, Korea,Russia, AMEA, Latam)</t>
  </si>
  <si>
    <r>
      <t xml:space="preserve">According to Tan, the Indian data center sector currently has </t>
    </r>
    <r>
      <rPr>
        <i/>
        <sz val="10"/>
        <color rgb="FF313437"/>
        <rFont val="Arial"/>
        <family val="2"/>
      </rPr>
      <t>252MW</t>
    </r>
    <r>
      <rPr>
        <sz val="10"/>
        <color rgb="FF313437"/>
        <rFont val="Arial"/>
        <family val="2"/>
      </rPr>
      <t xml:space="preserve"> of power which is expected to more than double to 536.1MW by 2024 thanks to a compound annual growth rate greater than 20 percent.</t>
    </r>
  </si>
  <si>
    <t>Devices</t>
  </si>
  <si>
    <t>Tablettes</t>
  </si>
  <si>
    <t>Ordinateurs portables</t>
  </si>
  <si>
    <t>Ordinateurs de bureau (unité centrale)</t>
  </si>
  <si>
    <t>Ecrans</t>
  </si>
  <si>
    <t>Phablets</t>
  </si>
  <si>
    <t>Consoles de jeu de salon</t>
  </si>
  <si>
    <t>Consoles de jeu de portables</t>
  </si>
  <si>
    <t>Imprimantes</t>
  </si>
  <si>
    <t>TV STB</t>
  </si>
  <si>
    <t>Box et routeurs (particuliers + entreprises)</t>
  </si>
  <si>
    <t>TV GC</t>
  </si>
  <si>
    <t>Boîtier TV (décodeur)</t>
  </si>
  <si>
    <t>A/V Receiver</t>
  </si>
  <si>
    <t>Enceintes connectées (ex : Google home)</t>
  </si>
  <si>
    <t>DVD/Bluray</t>
  </si>
  <si>
    <t>Casques de réalité virtuelle</t>
  </si>
  <si>
    <t>Module de connexion des objets et machines connectées (IoT et IIoT)²</t>
  </si>
  <si>
    <t>LAN switches ?</t>
  </si>
  <si>
    <t>Ecrans publicitaires</t>
  </si>
  <si>
    <t>Corporate wifi ?</t>
  </si>
  <si>
    <t>Advertising screens</t>
  </si>
  <si>
    <t>New list</t>
  </si>
  <si>
    <t>5G smartphone shipments, strategy analytics, 2017</t>
  </si>
  <si>
    <t>Lan (wired/wifi)</t>
  </si>
  <si>
    <t>https://iot-analytics.com/state-of-the-iot-update-q1-q2-2018-number-of-iot-devices-now-7b/</t>
  </si>
  <si>
    <t>Cisco</t>
  </si>
  <si>
    <t>7,4 / 8,9</t>
  </si>
  <si>
    <t>12,5 / 14,7</t>
  </si>
  <si>
    <t>total EP world (EJ)</t>
  </si>
  <si>
    <t>total EP (TWh)</t>
  </si>
  <si>
    <t>Total CO2 from EP</t>
  </si>
  <si>
    <t xml:space="preserve">Carbon footprint / production phase </t>
  </si>
  <si>
    <t>EP (kWh)</t>
  </si>
  <si>
    <t>CO2 (kg)</t>
  </si>
  <si>
    <t>Apple 2020</t>
  </si>
  <si>
    <t>Google 2020</t>
  </si>
  <si>
    <t>Huawei 2020</t>
  </si>
  <si>
    <t>Ademe 2018</t>
  </si>
  <si>
    <t>Citizing</t>
  </si>
  <si>
    <t>Ademe CO2/kWh</t>
  </si>
  <si>
    <t>Ademe  EP</t>
  </si>
  <si>
    <t>Sources valeur colonne B</t>
  </si>
  <si>
    <t>Ademe et autres</t>
  </si>
  <si>
    <t xml:space="preserve">36; 50; </t>
  </si>
  <si>
    <t>68; 52</t>
  </si>
  <si>
    <t>70; 110</t>
  </si>
  <si>
    <t>150; 150</t>
  </si>
  <si>
    <t>citizing</t>
  </si>
  <si>
    <t>Coal</t>
  </si>
  <si>
    <t>Oil</t>
  </si>
  <si>
    <t>Gas</t>
  </si>
  <si>
    <t>Total EP</t>
  </si>
  <si>
    <t>kgCO2/MJ</t>
  </si>
  <si>
    <t>EP 2018 EJ</t>
  </si>
  <si>
    <t>CO2  2018</t>
  </si>
  <si>
    <t>kgCO2/kWh</t>
  </si>
  <si>
    <t>Câblage</t>
  </si>
  <si>
    <t>Gilles Genin: "son câblage dans un bâtiment tertiaire standard représente de 3 à 5% de son bilan global d'émissions CO2 de construction et donc entre 15 et 25% sur 50 ans d'exploitation, puisqu'il est changé en moyenne tous les 7 à 10 ans et bien que le numérique consomme en moyenne 46% de l'électricité consommée par un bâtiment tertiaire."</t>
  </si>
  <si>
    <t>The Future X network</t>
  </si>
  <si>
    <t>Production Phase : GHG emissions (in Mt CO2)</t>
  </si>
  <si>
    <t xml:space="preserve">Laptops </t>
  </si>
  <si>
    <t xml:space="preserve">Smartphones </t>
  </si>
  <si>
    <t>Data Centers</t>
  </si>
  <si>
    <t>TOTAL</t>
  </si>
  <si>
    <t>Production Phase : Energy Consumption (in TWh)</t>
  </si>
  <si>
    <t>Run Phase : Consumer Devices Energy Consumption (in TWh)</t>
  </si>
  <si>
    <t>Infrastructure Energy Consumption (in TWh)</t>
  </si>
  <si>
    <t>Run Phase : Energy Consumption (in TWh)</t>
  </si>
  <si>
    <t>Consumer Devices</t>
  </si>
  <si>
    <t>Run Phase : TOTAL Electricity Cons. (in TWh)</t>
  </si>
  <si>
    <t>Run Phase (U): % of Global  Final Ener. Cons.</t>
  </si>
  <si>
    <t>Run Phase (U): % of Global Electricity Cons.</t>
  </si>
  <si>
    <t>Run Phase : TOTAL Primary Energy Cons. (in TWh)</t>
  </si>
  <si>
    <t>Production Phase : TOTAL Primary Ener. Cons. (in TWh)</t>
  </si>
  <si>
    <t>Production Phase (P): % of Global Ener. Cons.</t>
  </si>
  <si>
    <t>TOTAL Final Ener. Cons. (in TWh)</t>
  </si>
  <si>
    <t>TOTAL : % of Global Final Energy Consumption</t>
  </si>
  <si>
    <t>TOTAL Primary  Energy Cons. (in TWh)</t>
  </si>
  <si>
    <t>TOTAL : % of Global Primary Energy Consumption</t>
  </si>
  <si>
    <r>
      <t>Run Phase : GHG Emissions (in MtCO</t>
    </r>
    <r>
      <rPr>
        <b/>
        <vertAlign val="subscript"/>
        <sz val="11"/>
        <color theme="0" tint="0.7999500036239624"/>
        <rFont val="Calibri"/>
        <family val="2"/>
      </rPr>
      <t>2</t>
    </r>
    <r>
      <rPr>
        <b/>
        <sz val="11"/>
        <color theme="0" tint="0.7999799847602844"/>
        <rFont val="Calibri"/>
        <family val="2"/>
      </rPr>
      <t>e)</t>
    </r>
  </si>
  <si>
    <r>
      <t>Production Phase : GHG Emissions (in MtCO</t>
    </r>
    <r>
      <rPr>
        <b/>
        <vertAlign val="subscript"/>
        <sz val="11"/>
        <color theme="0" tint="0.7999500036239624"/>
        <rFont val="Calibri"/>
        <family val="2"/>
      </rPr>
      <t>2</t>
    </r>
    <r>
      <rPr>
        <b/>
        <sz val="11"/>
        <color theme="0" tint="0.7999799847602844"/>
        <rFont val="Calibri"/>
        <family val="2"/>
      </rPr>
      <t>e)</t>
    </r>
  </si>
  <si>
    <r>
      <t>TOTAL GHG Emissions (in MtCO</t>
    </r>
    <r>
      <rPr>
        <b/>
        <vertAlign val="subscript"/>
        <sz val="11"/>
        <color theme="0" tint="0.7999500036239624"/>
        <rFont val="Calibri"/>
        <family val="2"/>
      </rPr>
      <t>2</t>
    </r>
    <r>
      <rPr>
        <b/>
        <sz val="11"/>
        <color theme="0" tint="0.7999799847602844"/>
        <rFont val="Calibri"/>
        <family val="2"/>
      </rPr>
      <t>e)</t>
    </r>
  </si>
  <si>
    <t>TOTAL : % of Global GHG Emissions</t>
  </si>
  <si>
    <t>Part de la production dans les GHG</t>
  </si>
  <si>
    <t>Ratio production / total en énergie primaire</t>
  </si>
  <si>
    <t>Growth data</t>
  </si>
  <si>
    <t>BP to 2019 then 1,3% growth</t>
  </si>
  <si>
    <t>Growth Data</t>
  </si>
  <si>
    <t>2013 to 2019, 2022 et 2023 : statista 2020</t>
  </si>
  <si>
    <t>cagr 2013 2019</t>
  </si>
  <si>
    <t>2016 2019: cagr 60%</t>
  </si>
  <si>
    <t>Meta-metavers data</t>
  </si>
  <si>
    <t>Ref Data</t>
  </si>
  <si>
    <t>Consommation électrique (TWh)</t>
  </si>
  <si>
    <t>CAGR 2030 - 2023</t>
  </si>
  <si>
    <t>Ratio 2028 / 2022</t>
  </si>
  <si>
    <t>Ratio 2030 / 2023</t>
  </si>
  <si>
    <t>Totale</t>
  </si>
  <si>
    <t>Meta-métavers</t>
  </si>
  <si>
    <t>Ref</t>
  </si>
  <si>
    <t>prolongation /!\</t>
  </si>
  <si>
    <t>cagr 2019 2025</t>
  </si>
  <si>
    <r>
      <t>TOTAL GHG Emissions (in MtCO</t>
    </r>
    <r>
      <rPr>
        <b/>
        <vertAlign val="subscript"/>
        <sz val="11"/>
        <color theme="0"/>
        <rFont val="Calibri"/>
        <family val="2"/>
        <scheme val="minor"/>
      </rPr>
      <t>2</t>
    </r>
    <r>
      <rPr>
        <b/>
        <sz val="11"/>
        <color theme="0"/>
        <rFont val="Calibri"/>
        <family val="2"/>
        <scheme val="minor"/>
      </rPr>
      <t>e)</t>
    </r>
  </si>
  <si>
    <t xml:space="preserve">2 Growth </t>
  </si>
  <si>
    <t>Meta-conference</t>
  </si>
  <si>
    <t>Electrical consumption (in TWh) - Analysis dedicated to Meta-métavers scenario</t>
  </si>
  <si>
    <t>Network electricity consumption : Meta-métavers</t>
  </si>
  <si>
    <t>Network electricity consumption : Conservative</t>
  </si>
  <si>
    <t>Network electricity consumption : Growth</t>
  </si>
  <si>
    <t>Data center electricity consumption : Meta-métavers</t>
  </si>
  <si>
    <t>Data center electricity consumption : Conservative</t>
  </si>
  <si>
    <t>Data center electricity consumption : Growth</t>
  </si>
  <si>
    <t>Consumer devices electricity consumption : Meta-métavers</t>
  </si>
  <si>
    <t>Consumer devices electricity consumption : Conservative</t>
  </si>
  <si>
    <t>Consumer devices electricity consumption : Growth</t>
  </si>
  <si>
    <t>GHG emissions (in MtCO2e) - Analysis dedicated to Meta-métavers scenario</t>
  </si>
  <si>
    <t>Consumer devices production GHG emissions : Meta-métavers</t>
  </si>
  <si>
    <t>Consumer devices production GHG emissions : Conservative</t>
  </si>
  <si>
    <t>Consumer devices production GHG emissions : Growth</t>
  </si>
  <si>
    <r>
      <t>GHG Emissions (in MtCO</t>
    </r>
    <r>
      <rPr>
        <b/>
        <vertAlign val="subscript"/>
        <sz val="11"/>
        <color theme="0"/>
        <rFont val="Calibri"/>
        <family val="2"/>
        <scheme val="minor"/>
      </rPr>
      <t>2</t>
    </r>
    <r>
      <rPr>
        <b/>
        <sz val="11"/>
        <color theme="0"/>
        <rFont val="Calibri"/>
        <family val="2"/>
        <scheme val="minor"/>
      </rPr>
      <t>e) - Analysis dedicated to Meta-conference scenario</t>
    </r>
  </si>
  <si>
    <t xml:space="preserve">delta Meta-conf - Growth in 2030 </t>
  </si>
  <si>
    <t>Network : Conservative</t>
  </si>
  <si>
    <t>absolute values (MtCO2e)</t>
  </si>
  <si>
    <t>evolution (%)</t>
  </si>
  <si>
    <t>Network : Meta-conference</t>
  </si>
  <si>
    <t>Synchronicity</t>
  </si>
  <si>
    <t>Consumer devices : Conservative</t>
  </si>
  <si>
    <t>Immersion</t>
  </si>
  <si>
    <t>Consumer devices : Meta-conference</t>
  </si>
  <si>
    <t xml:space="preserve">Meta-conference : Simultanéité </t>
  </si>
  <si>
    <t>Meta-conference : Simultanéité + Immersion</t>
  </si>
  <si>
    <t xml:space="preserve">Conservative </t>
  </si>
  <si>
    <t xml:space="preserve">GHG </t>
  </si>
  <si>
    <t>Use</t>
  </si>
  <si>
    <t>consumer Devices</t>
  </si>
  <si>
    <t>hyp</t>
  </si>
  <si>
    <t xml:space="preserve"> networks</t>
  </si>
  <si>
    <t xml:space="preserve"> data Centers</t>
  </si>
  <si>
    <t>Production</t>
  </si>
  <si>
    <t>computers and peripherals</t>
  </si>
  <si>
    <t xml:space="preserve">smartphones(*) </t>
  </si>
  <si>
    <t>TVs (*)</t>
  </si>
  <si>
    <t xml:space="preserve">Other equipment : terminaux </t>
  </si>
  <si>
    <t>Other equipment : réseaux</t>
  </si>
  <si>
    <t>Other equipment : data centers</t>
  </si>
  <si>
    <t xml:space="preserve">GHG split </t>
  </si>
  <si>
    <t>Growth: data</t>
  </si>
  <si>
    <t>2020 Green IT</t>
  </si>
  <si>
    <t>ratio 2019/2013</t>
  </si>
  <si>
    <t>ratio 2025/2019</t>
  </si>
  <si>
    <t>production GHG</t>
  </si>
  <si>
    <t>production EP</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</si>
</sst>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6">
    <numFmt numFmtId="164" formatCode="_-* #,##0.00_-;\-* #,##0.00_-;_-* &quot;-&quot;??_-;_-@_-"/>
    <numFmt numFmtId="165" formatCode="_-* #,##0_-;\-* #,##0_-;_-* &quot;-&quot;??_-;_-@_-"/>
    <numFmt numFmtId="166" formatCode="0.0%"/>
    <numFmt numFmtId="167" formatCode="0.000"/>
    <numFmt numFmtId="168" formatCode="0.0000"/>
    <numFmt numFmtId="169" formatCode="0.0"/>
  </numFmts>
  <fonts count="71">
    <font>
      <sz val="11"/>
      <color theme="1"/>
      <name val="Calibri"/>
      <family val="2"/>
      <scheme val="minor"/>
    </font>
    <font>
      <sz val="10"/>
      <name val="Arial"/>
      <family val="2"/>
    </font>
    <font>
      <u val="single"/>
      <sz val="11"/>
      <color theme="10"/>
      <name val="Calibri"/>
      <family val="2"/>
      <scheme val="minor"/>
    </font>
    <font>
      <sz val="10"/>
      <name val="Verdana"/>
      <family val="2"/>
    </font>
    <font>
      <i/>
      <sz val="11"/>
      <color theme="1"/>
      <name val="Calibri"/>
      <family val="2"/>
      <scheme val="minor"/>
    </font>
    <font>
      <b/>
      <sz val="11"/>
      <color theme="0"/>
      <name val="Calibri"/>
      <family val="2"/>
      <scheme val="minor"/>
    </font>
    <font>
      <sz val="11"/>
      <color theme="0" tint="-0.24997000396251678"/>
      <name val="Calibri"/>
      <family val="2"/>
      <scheme val="minor"/>
    </font>
    <font>
      <b/>
      <sz val="11"/>
      <color rgb="FF804000"/>
      <name val="Calibri"/>
      <family val="2"/>
      <scheme val="minor"/>
    </font>
    <font>
      <sz val="11"/>
      <color rgb="FF002060"/>
      <name val="Calibri"/>
      <family val="2"/>
      <scheme val="minor"/>
    </font>
    <font>
      <b/>
      <sz val="11"/>
      <color rgb="FF002060"/>
      <name val="Calibri"/>
      <family val="2"/>
      <scheme val="minor"/>
    </font>
    <font>
      <sz val="11"/>
      <color indexed="10"/>
      <name val="Calibri"/>
      <family val="2"/>
      <scheme val="minor"/>
    </font>
    <font>
      <i/>
      <sz val="11"/>
      <color theme="0" tint="-0.24997000396251678"/>
      <name val="Calibri"/>
      <family val="2"/>
      <scheme val="minor"/>
    </font>
    <font>
      <sz val="11"/>
      <color rgb="FFFF8200"/>
      <name val="Calibri"/>
      <family val="2"/>
      <scheme val="minor"/>
    </font>
    <font>
      <i/>
      <sz val="11"/>
      <color rgb="FF002060"/>
      <name val="Calibri"/>
      <family val="2"/>
      <scheme val="minor"/>
    </font>
    <font>
      <sz val="11"/>
      <color rgb="FFFFB366"/>
      <name val="Calibri"/>
      <family val="2"/>
      <scheme val="minor"/>
    </font>
    <font>
      <sz val="11"/>
      <color rgb="FF00B0F0"/>
      <name val="Calibri"/>
      <family val="2"/>
      <scheme val="minor"/>
    </font>
    <font>
      <sz val="11"/>
      <color theme="0" tint="-0.3499799966812134"/>
      <name val="Calibri"/>
      <family val="2"/>
      <scheme val="minor"/>
    </font>
    <font>
      <u val="single"/>
      <sz val="11"/>
      <color theme="0" tint="-0.3499799966812134"/>
      <name val="Calibri"/>
      <family val="2"/>
      <scheme val="minor"/>
    </font>
    <font>
      <i/>
      <sz val="11"/>
      <color theme="0" tint="-0.3499799966812134"/>
      <name val="Calibri"/>
      <family val="2"/>
      <scheme val="minor"/>
    </font>
    <font>
      <sz val="8"/>
      <color rgb="FF1D1D1B"/>
      <name val="Marianne Light"/>
      <family val="2"/>
    </font>
    <font>
      <b/>
      <sz val="10"/>
      <name val="Verdana"/>
      <family val="2"/>
    </font>
    <font>
      <sz val="9"/>
      <color rgb="FFF06E05"/>
      <name val="Arial Rounded MT Bold"/>
      <family val="2"/>
    </font>
    <font>
      <b/>
      <sz val="11"/>
      <color theme="0" tint="0.7999799847602844"/>
      <name val="Calibri"/>
      <family val="2"/>
    </font>
    <font>
      <i/>
      <sz val="8"/>
      <color theme="0" tint="0.7999799847602844"/>
      <name val="Calibri"/>
      <family val="2"/>
    </font>
    <font>
      <sz val="11"/>
      <color theme="1"/>
      <name val="Calibri"/>
      <family val="2"/>
    </font>
    <font>
      <i/>
      <sz val="11"/>
      <color theme="1"/>
      <name val="Calibri"/>
      <family val="2"/>
    </font>
    <font>
      <b/>
      <sz val="11"/>
      <color theme="1"/>
      <name val="Calibri"/>
      <family val="2"/>
    </font>
    <font>
      <b/>
      <sz val="11"/>
      <color rgb="FF00B0F0"/>
      <name val="Calibri"/>
      <family val="2"/>
    </font>
    <font>
      <b/>
      <i/>
      <sz val="11"/>
      <color theme="1"/>
      <name val="Calibri"/>
      <family val="2"/>
    </font>
    <font>
      <b/>
      <sz val="11"/>
      <color rgb="FFFFC000"/>
      <name val="Calibri"/>
      <family val="2"/>
    </font>
    <font>
      <sz val="11"/>
      <name val="Calibri"/>
      <family val="2"/>
    </font>
    <font>
      <i/>
      <sz val="11"/>
      <name val="Calibri"/>
      <family val="2"/>
    </font>
    <font>
      <b/>
      <i/>
      <sz val="11"/>
      <color theme="0" tint="0.7999799847602844"/>
      <name val="Calibri"/>
      <family val="2"/>
    </font>
    <font>
      <sz val="10"/>
      <color rgb="FF455F7C"/>
      <name val="Arial"/>
      <family val="2"/>
    </font>
    <font>
      <b/>
      <sz val="11"/>
      <color theme="0"/>
      <name val="Calibri"/>
      <family val="2"/>
    </font>
    <font>
      <sz val="11"/>
      <color theme="0"/>
      <name val="Calibri"/>
      <family val="2"/>
      <scheme val="minor"/>
    </font>
    <font>
      <sz val="11"/>
      <color theme="4" tint="-0.24997000396251678"/>
      <name val="Calibri"/>
      <family val="2"/>
    </font>
    <font>
      <b/>
      <sz val="11"/>
      <color theme="7"/>
      <name val="Calibri"/>
      <family val="2"/>
    </font>
    <font>
      <sz val="11"/>
      <color rgb="FFC00000"/>
      <name val="Calibri"/>
      <family val="2"/>
    </font>
    <font>
      <b/>
      <i/>
      <sz val="11"/>
      <name val="Calibri"/>
      <family val="2"/>
    </font>
    <font>
      <b/>
      <sz val="14"/>
      <name val="Verdana"/>
      <family val="2"/>
    </font>
    <font>
      <b/>
      <sz val="11"/>
      <color theme="1"/>
      <name val="Calibri"/>
      <family val="2"/>
      <scheme val="minor"/>
    </font>
    <font>
      <b/>
      <sz val="11"/>
      <color theme="4" tint="-0.24997000396251678"/>
      <name val="Calibri"/>
      <family val="2"/>
      <scheme val="minor"/>
    </font>
    <font>
      <sz val="10"/>
      <color theme="4" tint="-0.24997000396251678"/>
      <name val="Verdana"/>
      <family val="2"/>
    </font>
    <font>
      <i/>
      <sz val="10"/>
      <name val="Verdana"/>
      <family val="2"/>
    </font>
    <font>
      <b/>
      <sz val="11"/>
      <name val="Calibri"/>
      <family val="2"/>
      <scheme val="minor"/>
    </font>
    <font>
      <sz val="10"/>
      <color rgb="FFC00000"/>
      <name val="Verdana"/>
      <family val="2"/>
    </font>
    <font>
      <sz val="10"/>
      <color rgb="FF313437"/>
      <name val="Arial"/>
      <family val="2"/>
    </font>
    <font>
      <b/>
      <sz val="11"/>
      <name val="Calibri"/>
      <family val="2"/>
    </font>
    <font>
      <sz val="11"/>
      <name val="Calibri"/>
      <family val="2"/>
      <scheme val="minor"/>
    </font>
    <font>
      <sz val="9"/>
      <name val="Arial Rounded MT Bold"/>
      <family val="2"/>
    </font>
    <font>
      <b/>
      <sz val="11"/>
      <color theme="4" tint="-0.24997000396251678"/>
      <name val="Calibri"/>
      <family val="2"/>
    </font>
    <font>
      <b/>
      <sz val="10"/>
      <color theme="4" tint="-0.24997000396251678"/>
      <name val="Verdana"/>
      <family val="2"/>
    </font>
    <font>
      <b/>
      <sz val="16"/>
      <color theme="0" tint="0.7999799847602844"/>
      <name val="Calibri"/>
      <family val="2"/>
    </font>
    <font>
      <b/>
      <sz val="10"/>
      <color indexed="10"/>
      <name val="Verdana"/>
      <family val="2"/>
    </font>
    <font>
      <sz val="8"/>
      <color theme="0" tint="0.7999799847602844"/>
      <name val="Calibri"/>
      <family val="2"/>
    </font>
    <font>
      <b/>
      <sz val="11"/>
      <color rgb="FF002060"/>
      <name val="Calibri"/>
      <family val="2"/>
    </font>
    <font>
      <sz val="10"/>
      <color rgb="FF00B0F0"/>
      <name val="Verdana"/>
      <family val="2"/>
    </font>
    <font>
      <i/>
      <sz val="10"/>
      <color theme="0" tint="-0.4999699890613556"/>
      <name val="Verdana"/>
      <family val="2"/>
    </font>
    <font>
      <b/>
      <sz val="11"/>
      <color theme="8" tint="0.39998000860214233"/>
      <name val="Calibri"/>
      <family val="2"/>
    </font>
    <font>
      <b/>
      <sz val="11"/>
      <color rgb="FF0070C0"/>
      <name val="Calibri"/>
      <family val="2"/>
    </font>
    <font>
      <sz val="8"/>
      <color theme="0"/>
      <name val="Verdana"/>
      <family val="2"/>
    </font>
    <font>
      <sz val="10"/>
      <color theme="0"/>
      <name val="Verdana"/>
      <family val="2"/>
    </font>
    <font>
      <vertAlign val="subscript"/>
      <sz val="11"/>
      <color rgb="FF002060"/>
      <name val="Calibri"/>
      <family val="2"/>
      <scheme val="minor"/>
    </font>
    <font>
      <b/>
      <vertAlign val="subscript"/>
      <sz val="11"/>
      <color theme="0" tint="0.7999500036239624"/>
      <name val="Calibri"/>
      <family val="2"/>
    </font>
    <font>
      <i/>
      <sz val="10"/>
      <color rgb="FF313437"/>
      <name val="Arial"/>
      <family val="2"/>
    </font>
    <font>
      <b/>
      <vertAlign val="subscript"/>
      <sz val="11"/>
      <color theme="0"/>
      <name val="Calibri"/>
      <family val="2"/>
      <scheme val="minor"/>
    </font>
    <font>
      <sz val="14"/>
      <color theme="1" tint="0.35"/>
      <name val="Calibri"/>
      <family val="2"/>
    </font>
    <font>
      <sz val="9"/>
      <color theme="1" tint="0.35"/>
      <name val="+mn-cs"/>
      <family val="2"/>
    </font>
    <font>
      <sz val="9"/>
      <color theme="1" tint="0.35"/>
      <name val="Calibri"/>
      <family val="2"/>
    </font>
    <font>
      <sz val="10"/>
      <color theme="1" tint="0.35"/>
      <name val="Calibri"/>
      <family val="2"/>
    </font>
  </fonts>
  <fills count="13">
    <fill>
      <patternFill/>
    </fill>
    <fill>
      <patternFill patternType="gray125"/>
    </fill>
    <fill>
      <patternFill patternType="solid">
        <fgColor rgb="FF002060"/>
        <bgColor indexed="64"/>
      </patternFill>
    </fill>
    <fill>
      <patternFill patternType="solid">
        <fgColor rgb="FFFF8200"/>
        <bgColor indexed="64"/>
      </patternFill>
    </fill>
    <fill>
      <patternFill patternType="solid">
        <fgColor indexed="47"/>
        <bgColor indexed="64"/>
      </patternFill>
    </fill>
    <fill>
      <patternFill patternType="solid">
        <fgColor theme="5" tint="-0.4999699890613556"/>
        <bgColor indexed="64"/>
      </patternFill>
    </fill>
    <fill>
      <patternFill patternType="solid">
        <fgColor rgb="FFFEE8D6"/>
        <bgColor indexed="64"/>
      </patternFill>
    </fill>
    <fill>
      <patternFill patternType="solid">
        <fgColor theme="5" tint="-0.24997000396251678"/>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bgColor indexed="64"/>
      </patternFill>
    </fill>
    <fill>
      <patternFill patternType="solid">
        <fgColor indexed="10"/>
        <bgColor indexed="64"/>
      </patternFill>
    </fill>
    <fill>
      <patternFill patternType="solid">
        <fgColor theme="7" tint="-0.24997000396251678"/>
        <bgColor indexed="64"/>
      </patternFill>
    </fill>
  </fills>
  <borders count="138">
    <border>
      <left/>
      <right/>
      <top/>
      <bottom/>
      <diagonal/>
    </border>
    <border>
      <left style="thin"/>
      <right/>
      <top style="thin"/>
      <bottom style="dotted">
        <color rgb="FF002060"/>
      </bottom>
    </border>
    <border>
      <left style="thin"/>
      <right/>
      <top style="thin"/>
      <bottom/>
    </border>
    <border>
      <left/>
      <right/>
      <top style="thin"/>
      <bottom/>
    </border>
    <border>
      <left/>
      <right style="dotted">
        <color rgb="FF002060"/>
      </right>
      <top style="thin"/>
      <bottom/>
    </border>
    <border>
      <left style="dotted">
        <color rgb="FF002060"/>
      </left>
      <right style="dotted">
        <color rgb="FF002060"/>
      </right>
      <top style="thin"/>
      <bottom style="dotted">
        <color rgb="FF002060"/>
      </bottom>
    </border>
    <border>
      <left style="dotted">
        <color rgb="FF002060"/>
      </left>
      <right/>
      <top style="thin"/>
      <bottom style="dotted">
        <color rgb="FF002060"/>
      </bottom>
    </border>
    <border>
      <left/>
      <right style="thin"/>
      <top style="thin"/>
      <bottom style="dotted">
        <color rgb="FF002060"/>
      </bottom>
    </border>
    <border>
      <left style="thin"/>
      <right style="thin"/>
      <top style="thin"/>
      <bottom style="dotted">
        <color rgb="FF002060"/>
      </bottom>
    </border>
    <border>
      <left style="thin"/>
      <right/>
      <top style="dotted">
        <color rgb="FF002060"/>
      </top>
      <bottom style="thin">
        <color rgb="FF002060"/>
      </bottom>
    </border>
    <border>
      <left style="thin"/>
      <right style="dotted"/>
      <top style="dotted">
        <color rgb="FF002060"/>
      </top>
      <bottom style="thin"/>
    </border>
    <border>
      <left/>
      <right style="dotted">
        <color rgb="FF002060"/>
      </right>
      <top style="dotted">
        <color rgb="FF002060"/>
      </top>
      <bottom/>
    </border>
    <border>
      <left/>
      <right/>
      <top style="dotted">
        <color rgb="FF002060"/>
      </top>
      <bottom/>
    </border>
    <border>
      <left style="dotted">
        <color rgb="FF002060"/>
      </left>
      <right style="thin"/>
      <top style="dotted">
        <color rgb="FF002060"/>
      </top>
      <bottom/>
    </border>
    <border>
      <left style="thin"/>
      <right style="thin"/>
      <top style="dotted">
        <color rgb="FF002060"/>
      </top>
      <bottom/>
    </border>
    <border>
      <left style="thin"/>
      <right/>
      <top/>
      <bottom style="dotted">
        <color rgb="FF002060"/>
      </bottom>
    </border>
    <border>
      <left style="thin"/>
      <right style="dotted"/>
      <top style="thin"/>
      <bottom style="dotted">
        <color rgb="FF002060"/>
      </bottom>
    </border>
    <border>
      <left/>
      <right style="dotted">
        <color rgb="FF002060"/>
      </right>
      <top style="thin"/>
      <bottom style="dotted">
        <color rgb="FF002060"/>
      </bottom>
    </border>
    <border>
      <left style="dotted">
        <color rgb="FF002060"/>
      </left>
      <right style="thin"/>
      <top style="thin"/>
      <bottom style="dotted">
        <color rgb="FF002060"/>
      </bottom>
    </border>
    <border>
      <left style="thin"/>
      <right/>
      <top style="dotted">
        <color rgb="FF002060"/>
      </top>
      <bottom style="dotted">
        <color rgb="FF002060"/>
      </bottom>
    </border>
    <border>
      <left style="thin"/>
      <right style="dotted"/>
      <top style="dotted">
        <color rgb="FF002060"/>
      </top>
      <bottom style="dotted">
        <color rgb="FF002060"/>
      </bottom>
    </border>
    <border>
      <left/>
      <right style="dotted">
        <color rgb="FF002060"/>
      </right>
      <top style="dotted">
        <color rgb="FF002060"/>
      </top>
      <bottom style="dotted">
        <color rgb="FF002060"/>
      </bottom>
    </border>
    <border>
      <left style="dotted">
        <color rgb="FF002060"/>
      </left>
      <right style="dotted">
        <color rgb="FF002060"/>
      </right>
      <top style="dotted">
        <color rgb="FF002060"/>
      </top>
      <bottom style="dotted">
        <color rgb="FF002060"/>
      </bottom>
    </border>
    <border>
      <left style="dotted">
        <color rgb="FF002060"/>
      </left>
      <right style="thin"/>
      <top style="dotted">
        <color rgb="FF002060"/>
      </top>
      <bottom style="dotted">
        <color rgb="FF002060"/>
      </bottom>
    </border>
    <border>
      <left style="thin"/>
      <right style="thin"/>
      <top style="dotted">
        <color rgb="FF002060"/>
      </top>
      <bottom style="dotted">
        <color rgb="FF002060"/>
      </bottom>
    </border>
    <border>
      <left style="thin"/>
      <right/>
      <top style="dotted">
        <color rgb="FF002060"/>
      </top>
      <bottom style="thin"/>
    </border>
    <border>
      <left/>
      <right style="dotted">
        <color rgb="FF002060"/>
      </right>
      <top style="dotted">
        <color rgb="FF002060"/>
      </top>
      <bottom style="thin"/>
    </border>
    <border>
      <left style="dotted">
        <color rgb="FF002060"/>
      </left>
      <right style="dotted">
        <color rgb="FF002060"/>
      </right>
      <top style="dotted">
        <color rgb="FF002060"/>
      </top>
      <bottom style="thin"/>
    </border>
    <border>
      <left style="dotted">
        <color rgb="FF002060"/>
      </left>
      <right style="thin"/>
      <top style="dotted">
        <color rgb="FF002060"/>
      </top>
      <bottom style="thin"/>
    </border>
    <border>
      <left style="thin"/>
      <right style="thin"/>
      <top style="dotted">
        <color rgb="FF002060"/>
      </top>
      <bottom style="thin"/>
    </border>
    <border>
      <left style="thin">
        <color rgb="FF002060"/>
      </left>
      <right/>
      <top style="thin">
        <color rgb="FF002060"/>
      </top>
      <bottom style="dotted">
        <color rgb="FF002060"/>
      </bottom>
    </border>
    <border>
      <left style="thin">
        <color rgb="FF002060"/>
      </left>
      <right/>
      <top style="dotted">
        <color rgb="FF002060"/>
      </top>
      <bottom style="thin">
        <color rgb="FF002060"/>
      </bottom>
    </border>
    <border>
      <left style="thin"/>
      <right style="dotted"/>
      <top style="dotted">
        <color rgb="FF002060"/>
      </top>
      <bottom/>
    </border>
    <border>
      <left/>
      <right style="thin"/>
      <top style="dotted">
        <color rgb="FF002060"/>
      </top>
      <bottom/>
    </border>
    <border>
      <left style="thin">
        <color rgb="FF002060"/>
      </left>
      <right/>
      <top/>
      <bottom style="dotted">
        <color rgb="FF002060"/>
      </bottom>
    </border>
    <border>
      <left style="thin">
        <color rgb="FF002060"/>
      </left>
      <right/>
      <top style="dotted">
        <color rgb="FF002060"/>
      </top>
      <bottom style="dotted">
        <color rgb="FF002060"/>
      </bottom>
    </border>
    <border>
      <left/>
      <right style="thin"/>
      <top style="dotted">
        <color rgb="FF002060"/>
      </top>
      <bottom style="dotted">
        <color rgb="FF002060"/>
      </bottom>
    </border>
    <border>
      <left style="dotted">
        <color rgb="FF002060"/>
      </left>
      <right/>
      <top style="dotted">
        <color rgb="FF002060"/>
      </top>
      <bottom style="dotted">
        <color rgb="FF002060"/>
      </bottom>
    </border>
    <border>
      <left style="dotted">
        <color rgb="FF002060"/>
      </left>
      <right/>
      <top style="dotted">
        <color rgb="FF002060"/>
      </top>
      <bottom style="thin"/>
    </border>
    <border>
      <left style="thin">
        <color rgb="FF002060"/>
      </left>
      <right/>
      <top/>
      <bottom/>
    </border>
    <border>
      <left style="thin"/>
      <right/>
      <top/>
      <bottom/>
    </border>
    <border>
      <left/>
      <right/>
      <top style="dotted">
        <color rgb="FF002060"/>
      </top>
      <bottom style="thin"/>
    </border>
    <border>
      <left style="thin"/>
      <right style="dotted"/>
      <top/>
      <bottom style="dotted">
        <color rgb="FF002060"/>
      </bottom>
    </border>
    <border>
      <left/>
      <right style="dotted">
        <color rgb="FF002060"/>
      </right>
      <top/>
      <bottom style="dotted">
        <color rgb="FF002060"/>
      </bottom>
    </border>
    <border>
      <left/>
      <right style="thin"/>
      <top/>
      <bottom style="dotted">
        <color rgb="FF002060"/>
      </bottom>
    </border>
    <border>
      <left/>
      <right/>
      <top/>
      <bottom style="thin"/>
    </border>
    <border>
      <left/>
      <right style="thin"/>
      <top style="dotted">
        <color rgb="FF002060"/>
      </top>
      <bottom style="thin"/>
    </border>
    <border>
      <left style="thin"/>
      <right style="dotted">
        <color rgb="FF002060"/>
      </right>
      <top style="dotted">
        <color rgb="FF002060"/>
      </top>
      <bottom style="thin"/>
    </border>
    <border>
      <left style="thin"/>
      <right/>
      <top style="thin"/>
      <bottom style="thin"/>
    </border>
    <border>
      <left style="thin"/>
      <right style="dotted"/>
      <top style="thin"/>
      <bottom style="thin"/>
    </border>
    <border>
      <left/>
      <right style="thin"/>
      <top style="thin"/>
      <bottom style="thin"/>
    </border>
    <border>
      <left style="thin"/>
      <right style="dotted">
        <color rgb="FF002060"/>
      </right>
      <top style="dotted">
        <color rgb="FF002060"/>
      </top>
      <bottom/>
    </border>
    <border>
      <left style="thin"/>
      <right style="dotted">
        <color rgb="FF002060"/>
      </right>
      <top style="thin"/>
      <bottom style="dotted">
        <color rgb="FF002060"/>
      </bottom>
    </border>
    <border>
      <left style="thin"/>
      <right/>
      <top style="dotted">
        <color rgb="FF002060"/>
      </top>
      <bottom/>
    </border>
    <border>
      <left style="thin"/>
      <right style="thin"/>
      <top style="thin"/>
      <bottom style="thin"/>
    </border>
    <border>
      <left style="thin"/>
      <right style="dotted">
        <color rgb="FF002060"/>
      </right>
      <top style="thin"/>
      <bottom style="thin"/>
    </border>
    <border>
      <left style="thin"/>
      <right style="thin"/>
      <top style="thin"/>
      <bottom/>
    </border>
    <border>
      <left style="thin"/>
      <right style="thin"/>
      <top/>
      <bottom style="thin"/>
    </border>
    <border>
      <left style="thin"/>
      <right/>
      <top style="thin">
        <color rgb="FF002060"/>
      </top>
      <bottom style="dotted">
        <color rgb="FF002060"/>
      </bottom>
    </border>
    <border>
      <left style="thin"/>
      <right style="dotted">
        <color rgb="FF002060"/>
      </right>
      <top style="dotted">
        <color rgb="FF002060"/>
      </top>
      <bottom style="dotted">
        <color rgb="FF002060"/>
      </bottom>
    </border>
    <border>
      <left style="thin"/>
      <right style="dotted">
        <color rgb="FF002060"/>
      </right>
      <top/>
      <bottom style="dotted">
        <color rgb="FF002060"/>
      </bottom>
    </border>
    <border>
      <left style="thin"/>
      <right/>
      <top style="thin"/>
      <bottom style="thin">
        <color rgb="FF002060"/>
      </bottom>
    </border>
    <border>
      <left/>
      <right/>
      <top style="thin"/>
      <bottom style="thin">
        <color rgb="FF002060"/>
      </bottom>
    </border>
    <border>
      <left style="thin"/>
      <right/>
      <top style="thin">
        <color rgb="FF002060"/>
      </top>
      <bottom style="thin"/>
    </border>
    <border>
      <left/>
      <right/>
      <top style="thin">
        <color rgb="FF002060"/>
      </top>
      <bottom style="thin"/>
    </border>
    <border>
      <left/>
      <right style="thin"/>
      <top/>
      <bottom style="thin"/>
    </border>
    <border>
      <left style="medium">
        <color rgb="FFF06E05"/>
      </left>
      <right/>
      <top style="medium">
        <color rgb="FFF06E05"/>
      </top>
      <bottom/>
    </border>
    <border>
      <left/>
      <right/>
      <top style="medium">
        <color rgb="FFF06E05"/>
      </top>
      <bottom/>
    </border>
    <border>
      <left/>
      <right style="medium">
        <color rgb="FFF06E05"/>
      </right>
      <top style="medium">
        <color rgb="FFF06E05"/>
      </top>
      <bottom/>
    </border>
    <border>
      <left style="medium">
        <color rgb="FFF06E05"/>
      </left>
      <right/>
      <top/>
      <bottom style="medium">
        <color rgb="FFF06E05"/>
      </bottom>
    </border>
    <border>
      <left/>
      <right/>
      <top/>
      <bottom style="medium">
        <color rgb="FFF06E05"/>
      </bottom>
    </border>
    <border>
      <left/>
      <right style="medium">
        <color rgb="FFF06E05"/>
      </right>
      <top/>
      <bottom style="medium">
        <color rgb="FFF06E05"/>
      </bottom>
    </border>
    <border>
      <left/>
      <right/>
      <top style="thin"/>
      <bottom style="thin"/>
    </border>
    <border>
      <left style="thin"/>
      <right style="thin"/>
      <top/>
      <bottom/>
    </border>
    <border>
      <left/>
      <right style="thin"/>
      <top/>
      <bottom/>
    </border>
    <border>
      <left/>
      <right style="thin"/>
      <top style="thin"/>
      <bottom/>
    </border>
    <border>
      <left style="thin"/>
      <right/>
      <top/>
      <bottom style="thin"/>
    </border>
    <border>
      <left style="medium"/>
      <right/>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thin"/>
      <top/>
      <bottom style="medium"/>
    </border>
    <border>
      <left/>
      <right/>
      <top style="medium"/>
      <bottom/>
    </border>
    <border>
      <left/>
      <right style="medium"/>
      <top style="medium"/>
      <bottom/>
    </border>
    <border>
      <left/>
      <right/>
      <top/>
      <bottom style="medium"/>
    </border>
    <border>
      <left/>
      <right style="medium"/>
      <top/>
      <bottom/>
    </border>
    <border>
      <left style="thin"/>
      <right style="thin"/>
      <top style="medium"/>
      <bottom style="thin"/>
    </border>
    <border>
      <left style="medium"/>
      <right/>
      <top/>
      <bottom style="medium"/>
    </border>
    <border>
      <left style="thin">
        <color rgb="FF002060"/>
      </left>
      <right/>
      <top style="thin">
        <color rgb="FF002060"/>
      </top>
      <bottom/>
    </border>
    <border>
      <left/>
      <right/>
      <top style="thin">
        <color rgb="FF002060"/>
      </top>
      <bottom/>
    </border>
    <border>
      <left/>
      <right style="thin">
        <color rgb="FF002060"/>
      </right>
      <top style="thin">
        <color rgb="FF002060"/>
      </top>
      <bottom/>
    </border>
    <border>
      <left style="dotted">
        <color rgb="FF002060"/>
      </left>
      <right/>
      <top style="dotted">
        <color rgb="FF002060"/>
      </top>
      <bottom/>
    </border>
    <border>
      <left style="thin"/>
      <right style="dotted">
        <color rgb="FF002060"/>
      </right>
      <top style="thin"/>
      <bottom style="thin">
        <color rgb="FF002060"/>
      </bottom>
    </border>
    <border>
      <left style="dotted">
        <color rgb="FF002060"/>
      </left>
      <right style="dotted">
        <color rgb="FF002060"/>
      </right>
      <top style="thin"/>
      <bottom style="thin">
        <color rgb="FF002060"/>
      </bottom>
    </border>
    <border>
      <left style="dotted">
        <color rgb="FF002060"/>
      </left>
      <right style="thin"/>
      <top style="thin"/>
      <bottom style="thin">
        <color rgb="FF002060"/>
      </bottom>
    </border>
    <border>
      <left style="thin"/>
      <right style="dotted">
        <color rgb="FF002060"/>
      </right>
      <top style="thin">
        <color rgb="FF002060"/>
      </top>
      <bottom/>
    </border>
    <border>
      <left style="dotted">
        <color rgb="FF002060"/>
      </left>
      <right style="dotted">
        <color rgb="FF002060"/>
      </right>
      <top style="thin">
        <color rgb="FF002060"/>
      </top>
      <bottom/>
    </border>
    <border>
      <left style="dotted">
        <color rgb="FF002060"/>
      </left>
      <right style="thin"/>
      <top style="thin">
        <color rgb="FF002060"/>
      </top>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border>
    <border>
      <left style="dotted"/>
      <right style="dotted"/>
      <top style="dotted"/>
      <bottom/>
    </border>
    <border>
      <left style="dotted"/>
      <right style="thin"/>
      <top style="dotted"/>
      <bottom/>
    </border>
    <border>
      <left style="thin">
        <color rgb="FF002060"/>
      </left>
      <right/>
      <top style="thin">
        <color rgb="FF002060"/>
      </top>
      <bottom style="thin">
        <color rgb="FF002060"/>
      </bottom>
    </border>
    <border>
      <left/>
      <right style="thin">
        <color rgb="FF002060"/>
      </right>
      <top style="thin">
        <color rgb="FF002060"/>
      </top>
      <bottom style="thin">
        <color rgb="FF002060"/>
      </bottom>
    </border>
    <border>
      <left style="thin">
        <color rgb="FF002060"/>
      </left>
      <right style="dotted">
        <color rgb="FF002060"/>
      </right>
      <top style="thin"/>
      <bottom style="dotted">
        <color rgb="FF002060"/>
      </bottom>
    </border>
    <border>
      <left style="thin">
        <color rgb="FF002060"/>
      </left>
      <right style="thin"/>
      <top style="thin"/>
      <bottom style="dotted">
        <color rgb="FF002060"/>
      </bottom>
    </border>
    <border>
      <left style="thin">
        <color rgb="FF002060"/>
      </left>
      <right style="dotted">
        <color rgb="FF002060"/>
      </right>
      <top style="dotted">
        <color rgb="FF002060"/>
      </top>
      <bottom style="thin">
        <color rgb="FF002060"/>
      </bottom>
    </border>
    <border>
      <left/>
      <right style="thin">
        <color rgb="FF002060"/>
      </right>
      <top style="dotted">
        <color rgb="FF002060"/>
      </top>
      <bottom style="thin">
        <color rgb="FF002060"/>
      </bottom>
    </border>
    <border>
      <left style="thin"/>
      <right style="dotted">
        <color rgb="FF002060"/>
      </right>
      <top style="dotted">
        <color rgb="FF002060"/>
      </top>
      <bottom style="thin">
        <color rgb="FF002060"/>
      </bottom>
    </border>
    <border>
      <left style="dotted">
        <color rgb="FF002060"/>
      </left>
      <right style="dotted">
        <color rgb="FF002060"/>
      </right>
      <top style="dotted">
        <color rgb="FF002060"/>
      </top>
      <bottom style="thin">
        <color rgb="FF002060"/>
      </bottom>
    </border>
    <border>
      <left style="dotted">
        <color rgb="FF002060"/>
      </left>
      <right style="thin"/>
      <top style="dotted">
        <color rgb="FF002060"/>
      </top>
      <bottom style="thin">
        <color rgb="FF002060"/>
      </bottom>
    </border>
    <border>
      <left style="thin">
        <color rgb="FF002060"/>
      </left>
      <right style="thin">
        <color rgb="FF002060"/>
      </right>
      <top style="thin">
        <color rgb="FF002060"/>
      </top>
      <bottom style="dotted">
        <color rgb="FF002060"/>
      </bottom>
    </border>
    <border>
      <left style="dotted">
        <color rgb="FF002060"/>
      </left>
      <right style="dotted">
        <color rgb="FF002060"/>
      </right>
      <top style="thin">
        <color rgb="FF002060"/>
      </top>
      <bottom style="dotted">
        <color rgb="FF002060"/>
      </bottom>
    </border>
    <border>
      <left style="dotted">
        <color rgb="FF002060"/>
      </left>
      <right style="thin">
        <color rgb="FF002060"/>
      </right>
      <top style="thin">
        <color rgb="FF002060"/>
      </top>
      <bottom style="dotted">
        <color rgb="FF002060"/>
      </bottom>
    </border>
    <border>
      <left style="thin"/>
      <right style="dotted">
        <color rgb="FF002060"/>
      </right>
      <top style="thin">
        <color rgb="FF002060"/>
      </top>
      <bottom style="dotted">
        <color rgb="FF002060"/>
      </bottom>
    </border>
    <border>
      <left style="thin">
        <color rgb="FF002060"/>
      </left>
      <right style="dotted">
        <color rgb="FF002060"/>
      </right>
      <top style="thin">
        <color rgb="FF002060"/>
      </top>
      <bottom style="dotted">
        <color rgb="FF002060"/>
      </bottom>
    </border>
    <border>
      <left style="thin">
        <color rgb="FF002060"/>
      </left>
      <right style="thin"/>
      <top style="thin">
        <color rgb="FF002060"/>
      </top>
      <bottom style="dotted">
        <color rgb="FF002060"/>
      </bottom>
    </border>
    <border>
      <left style="thin">
        <color rgb="FF002060"/>
      </left>
      <right style="thin">
        <color rgb="FF002060"/>
      </right>
      <top style="dotted">
        <color rgb="FF002060"/>
      </top>
      <bottom style="thin">
        <color rgb="FF002060"/>
      </bottom>
    </border>
    <border>
      <left style="dotted">
        <color rgb="FF002060"/>
      </left>
      <right style="thin">
        <color rgb="FF002060"/>
      </right>
      <top style="dotted">
        <color rgb="FF002060"/>
      </top>
      <bottom style="thin">
        <color rgb="FF002060"/>
      </bottom>
    </border>
    <border>
      <left style="thin">
        <color rgb="FF002060"/>
      </left>
      <right style="dotted">
        <color rgb="FF002060"/>
      </right>
      <top style="dotted">
        <color rgb="FF002060"/>
      </top>
      <bottom style="thin"/>
    </border>
    <border>
      <left style="thin">
        <color rgb="FF002060"/>
      </left>
      <right style="thin"/>
      <top style="dotted">
        <color rgb="FF002060"/>
      </top>
      <bottom style="thin"/>
    </border>
    <border>
      <left style="medium"/>
      <right/>
      <top style="medium"/>
      <bottom/>
    </border>
    <border>
      <left/>
      <right style="medium"/>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Protection="0">
      <alignment/>
    </xf>
    <xf numFmtId="164" fontId="0" fillId="0" borderId="0" applyFont="0" applyFill="0" applyBorder="0" applyProtection="0">
      <alignment/>
    </xf>
    <xf numFmtId="0" fontId="3" fillId="0" borderId="0">
      <alignment/>
      <protection/>
    </xf>
    <xf numFmtId="0" fontId="3" fillId="0" borderId="0">
      <alignment/>
      <protection/>
    </xf>
    <xf numFmtId="0" fontId="3" fillId="0" borderId="0">
      <alignment/>
      <protection/>
    </xf>
    <xf numFmtId="9" fontId="0" fillId="0" borderId="0" applyFont="0" applyFill="0" applyBorder="0" applyProtection="0">
      <alignment/>
    </xf>
  </cellStyleXfs>
  <cellXfs count="581">
    <xf numFmtId="0" fontId="0" fillId="0" borderId="0" xfId="0"/>
    <xf numFmtId="0" fontId="4" fillId="0" borderId="0" xfId="0" applyFont="1"/>
    <xf numFmtId="0" fontId="5" fillId="2" borderId="1" xfId="0" applyFont="1" applyFill="1" applyBorder="1" applyAlignment="1">
      <alignmen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0" borderId="0" xfId="0" applyFont="1"/>
    <xf numFmtId="0" fontId="5" fillId="2" borderId="9" xfId="0" applyFont="1" applyFill="1" applyBorder="1"/>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8" fillId="0" borderId="15" xfId="0" applyFont="1" applyBorder="1"/>
    <xf numFmtId="165" fontId="8" fillId="0" borderId="16" xfId="21" applyNumberFormat="1" applyFont="1" applyBorder="1">
      <alignment/>
    </xf>
    <xf numFmtId="9" fontId="8" fillId="0" borderId="17" xfId="25" applyNumberFormat="1" applyFont="1" applyBorder="1">
      <alignment/>
    </xf>
    <xf numFmtId="9" fontId="8" fillId="0" borderId="5" xfId="25" applyNumberFormat="1" applyFont="1" applyBorder="1">
      <alignment/>
    </xf>
    <xf numFmtId="9" fontId="9" fillId="0" borderId="5" xfId="25" applyNumberFormat="1" applyFont="1" applyBorder="1">
      <alignment/>
    </xf>
    <xf numFmtId="9" fontId="8" fillId="0" borderId="18" xfId="25" applyNumberFormat="1" applyFont="1" applyBorder="1">
      <alignment/>
    </xf>
    <xf numFmtId="9" fontId="8" fillId="0" borderId="8" xfId="25" applyNumberFormat="1" applyFont="1" applyBorder="1">
      <alignment/>
    </xf>
    <xf numFmtId="0" fontId="8" fillId="0" borderId="19" xfId="0" applyFont="1" applyBorder="1"/>
    <xf numFmtId="165" fontId="8" fillId="0" borderId="20" xfId="21" applyNumberFormat="1" applyFont="1" applyBorder="1">
      <alignment/>
    </xf>
    <xf numFmtId="9" fontId="8" fillId="0" borderId="21" xfId="0" applyNumberFormat="1" applyFont="1" applyBorder="1"/>
    <xf numFmtId="9" fontId="8" fillId="0" borderId="22" xfId="0" applyNumberFormat="1" applyFont="1" applyBorder="1"/>
    <xf numFmtId="9" fontId="9" fillId="0" borderId="22" xfId="0" applyNumberFormat="1" applyFont="1" applyBorder="1"/>
    <xf numFmtId="9" fontId="8" fillId="0" borderId="23" xfId="0" applyNumberFormat="1" applyFont="1" applyBorder="1"/>
    <xf numFmtId="9" fontId="8" fillId="0" borderId="24" xfId="0" applyNumberFormat="1" applyFont="1" applyBorder="1"/>
    <xf numFmtId="0" fontId="8" fillId="0" borderId="25" xfId="0" applyFont="1" applyBorder="1"/>
    <xf numFmtId="165" fontId="8" fillId="0" borderId="10" xfId="21" applyNumberFormat="1" applyFont="1" applyBorder="1">
      <alignment/>
    </xf>
    <xf numFmtId="9" fontId="8" fillId="0" borderId="26" xfId="0" applyNumberFormat="1" applyFont="1" applyBorder="1"/>
    <xf numFmtId="9" fontId="8" fillId="0" borderId="27" xfId="0" applyNumberFormat="1" applyFont="1" applyBorder="1"/>
    <xf numFmtId="9" fontId="9" fillId="0" borderId="27" xfId="0" applyNumberFormat="1" applyFont="1" applyBorder="1"/>
    <xf numFmtId="9" fontId="8" fillId="0" borderId="28" xfId="0" applyNumberFormat="1" applyFont="1" applyBorder="1"/>
    <xf numFmtId="9" fontId="8" fillId="0" borderId="29" xfId="0" applyNumberFormat="1" applyFont="1" applyBorder="1"/>
    <xf numFmtId="0" fontId="5" fillId="2" borderId="30" xfId="0" applyFont="1" applyFill="1" applyBorder="1" applyAlignment="1">
      <alignment vertical="center"/>
    </xf>
    <xf numFmtId="0" fontId="5" fillId="2" borderId="31" xfId="0" applyFont="1" applyFill="1" applyBorder="1"/>
    <xf numFmtId="0" fontId="7" fillId="4" borderId="32" xfId="0" applyFont="1" applyFill="1" applyBorder="1" applyAlignment="1">
      <alignment horizontal="center"/>
    </xf>
    <xf numFmtId="0" fontId="7" fillId="4" borderId="33" xfId="0" applyFont="1" applyFill="1" applyBorder="1" applyAlignment="1">
      <alignment horizontal="center"/>
    </xf>
    <xf numFmtId="0" fontId="8" fillId="0" borderId="34" xfId="0" applyFont="1" applyBorder="1"/>
    <xf numFmtId="9" fontId="9" fillId="0" borderId="6" xfId="25" applyNumberFormat="1" applyFont="1" applyBorder="1">
      <alignment/>
    </xf>
    <xf numFmtId="9" fontId="8" fillId="0" borderId="7" xfId="25" applyNumberFormat="1" applyFont="1" applyBorder="1">
      <alignment/>
    </xf>
    <xf numFmtId="0" fontId="8" fillId="0" borderId="35" xfId="0" applyFont="1" applyBorder="1"/>
    <xf numFmtId="9" fontId="9" fillId="0" borderId="23" xfId="0" applyNumberFormat="1" applyFont="1" applyBorder="1"/>
    <xf numFmtId="9" fontId="8" fillId="0" borderId="36" xfId="0" applyNumberFormat="1" applyFont="1" applyBorder="1"/>
    <xf numFmtId="9" fontId="9" fillId="0" borderId="37" xfId="0" applyNumberFormat="1" applyFont="1" applyBorder="1"/>
    <xf numFmtId="0" fontId="8" fillId="0" borderId="31" xfId="0" applyFont="1" applyBorder="1"/>
    <xf numFmtId="9" fontId="9" fillId="0" borderId="38" xfId="0" applyNumberFormat="1" applyFont="1" applyBorder="1"/>
    <xf numFmtId="9" fontId="8" fillId="0" borderId="33" xfId="0" applyNumberFormat="1" applyFont="1" applyBorder="1"/>
    <xf numFmtId="0" fontId="8" fillId="0" borderId="39" xfId="0" applyFont="1" applyBorder="1"/>
    <xf numFmtId="165" fontId="8" fillId="0" borderId="0" xfId="21" applyNumberFormat="1" applyFont="1">
      <alignment/>
    </xf>
    <xf numFmtId="9" fontId="8" fillId="0" borderId="0" xfId="0" applyNumberFormat="1" applyFont="1"/>
    <xf numFmtId="9" fontId="10" fillId="0" borderId="0" xfId="0" applyNumberFormat="1" applyFont="1"/>
    <xf numFmtId="0" fontId="10" fillId="0" borderId="0" xfId="0" applyFont="1"/>
    <xf numFmtId="0" fontId="5" fillId="2" borderId="40" xfId="0" applyFont="1" applyFill="1" applyBorder="1" applyAlignment="1">
      <alignment vertical="center"/>
    </xf>
    <xf numFmtId="0" fontId="7" fillId="4" borderId="26" xfId="0" applyFont="1" applyFill="1" applyBorder="1" applyAlignment="1">
      <alignment horizontal="center"/>
    </xf>
    <xf numFmtId="0" fontId="7" fillId="4" borderId="41" xfId="0" applyFont="1" applyFill="1" applyBorder="1" applyAlignment="1">
      <alignment horizontal="center"/>
    </xf>
    <xf numFmtId="0" fontId="7" fillId="4" borderId="28" xfId="0" applyFont="1" applyFill="1" applyBorder="1" applyAlignment="1">
      <alignment horizontal="center"/>
    </xf>
    <xf numFmtId="165" fontId="8" fillId="0" borderId="42" xfId="21" applyNumberFormat="1" applyFont="1" applyBorder="1">
      <alignment/>
    </xf>
    <xf numFmtId="9" fontId="9" fillId="0" borderId="43" xfId="0" applyNumberFormat="1" applyFont="1" applyBorder="1"/>
    <xf numFmtId="9" fontId="8" fillId="0" borderId="44" xfId="0" applyNumberFormat="1" applyFont="1" applyBorder="1"/>
    <xf numFmtId="9" fontId="8" fillId="0" borderId="43" xfId="0" applyNumberFormat="1" applyFont="1" applyBorder="1"/>
    <xf numFmtId="9" fontId="9" fillId="0" borderId="21" xfId="0" applyNumberFormat="1" applyFont="1" applyBorder="1"/>
    <xf numFmtId="9" fontId="9" fillId="0" borderId="36" xfId="0" applyNumberFormat="1" applyFont="1" applyBorder="1"/>
    <xf numFmtId="9" fontId="0" fillId="0" borderId="45" xfId="0" applyNumberFormat="1" applyBorder="1"/>
    <xf numFmtId="9" fontId="9" fillId="0" borderId="26" xfId="0" applyNumberFormat="1" applyFont="1" applyBorder="1"/>
    <xf numFmtId="9" fontId="9" fillId="0" borderId="46" xfId="0" applyNumberFormat="1" applyFont="1" applyBorder="1"/>
    <xf numFmtId="0" fontId="11" fillId="0" borderId="0" xfId="0" applyFont="1"/>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9" fontId="8" fillId="0" borderId="17" xfId="0" applyNumberFormat="1" applyFont="1" applyBorder="1"/>
    <xf numFmtId="9" fontId="8" fillId="0" borderId="5" xfId="0" applyNumberFormat="1" applyFont="1" applyBorder="1"/>
    <xf numFmtId="0" fontId="8" fillId="0" borderId="0" xfId="0" applyFont="1"/>
    <xf numFmtId="0" fontId="12" fillId="0" borderId="0" xfId="0" applyFont="1"/>
    <xf numFmtId="0" fontId="13" fillId="0" borderId="0" xfId="0" applyFont="1"/>
    <xf numFmtId="0" fontId="14" fillId="0" borderId="0" xfId="0" applyFont="1"/>
    <xf numFmtId="0" fontId="5" fillId="2" borderId="8" xfId="0" applyFont="1" applyFill="1" applyBorder="1" applyAlignment="1">
      <alignment horizontal="left" vertical="center"/>
    </xf>
    <xf numFmtId="0" fontId="5" fillId="3" borderId="1" xfId="0" applyFont="1" applyFill="1" applyBorder="1" applyAlignment="1">
      <alignment horizontal="center" vertical="center" wrapText="1"/>
    </xf>
    <xf numFmtId="0" fontId="5" fillId="2" borderId="29" xfId="0" applyFont="1" applyFill="1" applyBorder="1" applyAlignment="1">
      <alignment horizontal="left" vertical="center"/>
    </xf>
    <xf numFmtId="0" fontId="7" fillId="4" borderId="47" xfId="0" applyFont="1" applyFill="1" applyBorder="1" applyAlignment="1">
      <alignment horizontal="center"/>
    </xf>
    <xf numFmtId="0" fontId="7" fillId="4" borderId="46" xfId="0" applyFont="1" applyFill="1" applyBorder="1" applyAlignment="1">
      <alignment horizontal="center"/>
    </xf>
    <xf numFmtId="0" fontId="8" fillId="0" borderId="48" xfId="0" applyFont="1" applyBorder="1"/>
    <xf numFmtId="9" fontId="15" fillId="0" borderId="49" xfId="25" applyNumberFormat="1" applyFont="1" applyBorder="1">
      <alignment/>
    </xf>
    <xf numFmtId="9" fontId="8" fillId="0" borderId="50" xfId="0" applyNumberFormat="1" applyFont="1" applyBorder="1"/>
    <xf numFmtId="0" fontId="0" fillId="0" borderId="0" xfId="0" applyAlignment="1">
      <alignment horizontal="left"/>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7" fillId="4" borderId="51" xfId="0" applyFont="1" applyFill="1" applyBorder="1" applyAlignment="1">
      <alignment horizontal="center"/>
    </xf>
    <xf numFmtId="9" fontId="8" fillId="0" borderId="52" xfId="25" applyNumberFormat="1" applyFont="1" applyBorder="1">
      <alignment/>
    </xf>
    <xf numFmtId="9" fontId="15" fillId="0" borderId="7" xfId="25" applyNumberFormat="1" applyFont="1" applyBorder="1">
      <alignment/>
    </xf>
    <xf numFmtId="2" fontId="16" fillId="0" borderId="0" xfId="21" applyNumberFormat="1" applyFont="1" applyAlignment="1">
      <alignment horizontal="left"/>
    </xf>
    <xf numFmtId="0" fontId="16" fillId="0" borderId="0" xfId="0" applyFont="1"/>
    <xf numFmtId="0" fontId="8" fillId="0" borderId="53" xfId="0" applyFont="1" applyBorder="1"/>
    <xf numFmtId="9" fontId="8" fillId="0" borderId="51" xfId="0" applyNumberFormat="1" applyFont="1" applyBorder="1"/>
    <xf numFmtId="9" fontId="15" fillId="0" borderId="33" xfId="0" applyNumberFormat="1" applyFont="1" applyBorder="1"/>
    <xf numFmtId="0" fontId="5" fillId="2" borderId="54" xfId="0" applyFont="1" applyFill="1" applyBorder="1"/>
    <xf numFmtId="0" fontId="7" fillId="4" borderId="55" xfId="0" applyFont="1" applyFill="1" applyBorder="1" applyAlignment="1">
      <alignment horizontal="center"/>
    </xf>
    <xf numFmtId="0" fontId="7" fillId="4" borderId="50" xfId="0" applyFont="1" applyFill="1" applyBorder="1" applyAlignment="1">
      <alignment horizontal="center"/>
    </xf>
    <xf numFmtId="0" fontId="16" fillId="0" borderId="0" xfId="0" applyFont="1" applyAlignment="1">
      <alignment horizontal="left"/>
    </xf>
    <xf numFmtId="0" fontId="17" fillId="0" borderId="0" xfId="20" applyFont="1">
      <alignment/>
    </xf>
    <xf numFmtId="0" fontId="18" fillId="0" borderId="0" xfId="0" applyFont="1"/>
    <xf numFmtId="166" fontId="8" fillId="0" borderId="52" xfId="25" applyNumberFormat="1" applyFont="1" applyBorder="1">
      <alignment/>
    </xf>
    <xf numFmtId="0" fontId="8" fillId="0" borderId="29" xfId="0" applyFont="1" applyBorder="1"/>
    <xf numFmtId="9" fontId="0" fillId="0" borderId="0" xfId="0" applyNumberFormat="1"/>
    <xf numFmtId="9" fontId="15" fillId="0" borderId="36" xfId="0" applyNumberFormat="1" applyFont="1" applyBorder="1"/>
    <xf numFmtId="9" fontId="16" fillId="0" borderId="0" xfId="0" applyNumberFormat="1" applyFont="1" applyAlignment="1">
      <alignment horizontal="left"/>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8" fillId="0" borderId="54" xfId="0" applyFont="1" applyBorder="1"/>
    <xf numFmtId="9" fontId="15" fillId="0" borderId="55" xfId="0" applyNumberFormat="1" applyFont="1" applyBorder="1"/>
    <xf numFmtId="9" fontId="15" fillId="0" borderId="50" xfId="0" applyNumberFormat="1" applyFont="1" applyBorder="1"/>
    <xf numFmtId="0" fontId="5" fillId="2" borderId="58" xfId="0" applyFont="1" applyFill="1" applyBorder="1" applyAlignment="1">
      <alignment horizontal="left" vertical="center"/>
    </xf>
    <xf numFmtId="0" fontId="0" fillId="0" borderId="0" xfId="0"/>
    <xf numFmtId="0" fontId="16" fillId="0" borderId="0" xfId="0" applyFont="1" quotePrefix="1"/>
    <xf numFmtId="0" fontId="5" fillId="2" borderId="9" xfId="0" applyFont="1" applyFill="1" applyBorder="1" applyAlignment="1">
      <alignment horizontal="left" vertical="center"/>
    </xf>
    <xf numFmtId="9" fontId="8" fillId="0" borderId="52" xfId="0" applyNumberFormat="1" applyFont="1" applyBorder="1"/>
    <xf numFmtId="9" fontId="15" fillId="0" borderId="7" xfId="0" applyNumberFormat="1" applyFont="1" applyBorder="1"/>
    <xf numFmtId="9" fontId="8" fillId="0" borderId="59" xfId="0" applyNumberFormat="1" applyFont="1" applyBorder="1"/>
    <xf numFmtId="9" fontId="8" fillId="0" borderId="47" xfId="0" applyNumberFormat="1" applyFont="1" applyBorder="1"/>
    <xf numFmtId="9" fontId="15" fillId="0" borderId="46" xfId="0" applyNumberFormat="1" applyFont="1" applyBorder="1"/>
    <xf numFmtId="0" fontId="8" fillId="0" borderId="8" xfId="0" applyFont="1" applyBorder="1"/>
    <xf numFmtId="9" fontId="8" fillId="0" borderId="60" xfId="0" applyNumberFormat="1" applyFont="1" applyBorder="1"/>
    <xf numFmtId="9" fontId="15" fillId="0" borderId="44" xfId="0" applyNumberFormat="1" applyFont="1" applyBorder="1"/>
    <xf numFmtId="0" fontId="8" fillId="0" borderId="24" xfId="0" applyFont="1" applyBorder="1"/>
    <xf numFmtId="9" fontId="15" fillId="0" borderId="0" xfId="0" applyNumberFormat="1" applyFont="1"/>
    <xf numFmtId="0" fontId="8" fillId="0" borderId="2" xfId="0" applyFont="1" applyBorder="1"/>
    <xf numFmtId="9" fontId="8" fillId="0" borderId="3" xfId="0" applyNumberFormat="1" applyFont="1" applyBorder="1"/>
    <xf numFmtId="0" fontId="5" fillId="5" borderId="61" xfId="0" applyFont="1" applyFill="1" applyBorder="1" applyAlignment="1">
      <alignment horizontal="center"/>
    </xf>
    <xf numFmtId="0" fontId="5" fillId="5" borderId="62" xfId="0" applyFont="1" applyFill="1" applyBorder="1" applyAlignment="1">
      <alignment horizontal="center"/>
    </xf>
    <xf numFmtId="0" fontId="7" fillId="4" borderId="54" xfId="0" applyFont="1" applyFill="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9" fontId="15" fillId="0" borderId="65" xfId="0" applyNumberFormat="1" applyFont="1" applyBorder="1"/>
    <xf numFmtId="1" fontId="10" fillId="0" borderId="0" xfId="0" applyNumberFormat="1" applyFont="1" applyAlignment="1">
      <alignment horizontal="left"/>
    </xf>
    <xf numFmtId="0" fontId="10" fillId="0" borderId="0" xfId="0" applyFont="1" applyAlignment="1">
      <alignment horizontal="left"/>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9" fontId="10" fillId="0" borderId="0" xfId="0" applyNumberFormat="1" applyFont="1" applyAlignment="1">
      <alignment horizontal="left"/>
    </xf>
    <xf numFmtId="0" fontId="10" fillId="0" borderId="0" xfId="0" applyFont="1" applyAlignment="1">
      <alignment vertical="center"/>
    </xf>
    <xf numFmtId="0" fontId="3" fillId="0" borderId="0" xfId="22" applyFont="1">
      <alignment/>
      <protection/>
    </xf>
    <xf numFmtId="0" fontId="20" fillId="0" borderId="0" xfId="22" applyFont="1">
      <alignment/>
      <protection/>
    </xf>
    <xf numFmtId="0" fontId="21" fillId="6" borderId="66" xfId="22" applyFont="1" applyFill="1" applyBorder="1" applyAlignment="1">
      <alignment horizontal="center" vertical="center"/>
      <protection/>
    </xf>
    <xf numFmtId="0" fontId="21" fillId="6" borderId="67" xfId="22" applyFont="1" applyFill="1" applyBorder="1" applyAlignment="1">
      <alignment horizontal="center" vertical="center"/>
      <protection/>
    </xf>
    <xf numFmtId="0" fontId="21" fillId="6" borderId="68" xfId="22" applyFont="1" applyFill="1" applyBorder="1" applyAlignment="1">
      <alignment horizontal="center" vertical="center"/>
      <protection/>
    </xf>
    <xf numFmtId="0" fontId="21" fillId="6" borderId="69" xfId="22" applyFont="1" applyFill="1" applyBorder="1" applyAlignment="1">
      <alignment horizontal="center" vertical="center"/>
      <protection/>
    </xf>
    <xf numFmtId="0" fontId="21" fillId="6" borderId="70" xfId="22" applyFont="1" applyFill="1" applyBorder="1" applyAlignment="1">
      <alignment horizontal="center" vertical="center"/>
      <protection/>
    </xf>
    <xf numFmtId="0" fontId="21" fillId="6" borderId="71" xfId="22" applyFont="1" applyFill="1" applyBorder="1" applyAlignment="1">
      <alignment horizontal="center" vertical="center"/>
      <protection/>
    </xf>
    <xf numFmtId="0" fontId="22" fillId="5" borderId="0" xfId="22" applyFont="1" applyFill="1" applyAlignment="1">
      <alignment horizontal="center" vertical="center" wrapText="1"/>
      <protection/>
    </xf>
    <xf numFmtId="0" fontId="22" fillId="5" borderId="54" xfId="22" applyFont="1" applyFill="1" applyBorder="1" applyAlignment="1">
      <alignment horizontal="center" vertical="center" wrapText="1"/>
      <protection/>
    </xf>
    <xf numFmtId="0" fontId="22" fillId="5" borderId="72" xfId="22" applyFont="1" applyFill="1" applyBorder="1" applyAlignment="1">
      <alignment horizontal="center" vertical="center" wrapText="1"/>
      <protection/>
    </xf>
    <xf numFmtId="0" fontId="22" fillId="5" borderId="48" xfId="22" applyFont="1" applyFill="1" applyBorder="1" applyAlignment="1">
      <alignment horizontal="center" vertical="center" wrapText="1"/>
      <protection/>
    </xf>
    <xf numFmtId="0" fontId="22" fillId="5" borderId="50" xfId="22" applyFont="1" applyFill="1" applyBorder="1" applyAlignment="1">
      <alignment horizontal="center" vertical="center" wrapText="1"/>
      <protection/>
    </xf>
    <xf numFmtId="0" fontId="22" fillId="7" borderId="73" xfId="22" applyFont="1" applyFill="1" applyBorder="1" applyAlignment="1">
      <alignment horizontal="center" vertical="center" wrapText="1"/>
      <protection/>
    </xf>
    <xf numFmtId="0" fontId="22" fillId="7" borderId="0" xfId="22" applyFont="1" applyFill="1" applyAlignment="1">
      <alignment horizontal="left" vertical="center"/>
      <protection/>
    </xf>
    <xf numFmtId="0" fontId="22" fillId="7" borderId="0" xfId="22" applyFont="1" applyFill="1" applyAlignment="1">
      <alignment horizontal="center" vertical="center" wrapText="1"/>
      <protection/>
    </xf>
    <xf numFmtId="0" fontId="23" fillId="7" borderId="0" xfId="22" applyFont="1" applyFill="1" applyAlignment="1">
      <alignment horizontal="center" vertical="center" wrapText="1"/>
      <protection/>
    </xf>
    <xf numFmtId="1" fontId="24" fillId="8" borderId="40" xfId="22" applyNumberFormat="1" applyFont="1" applyFill="1" applyBorder="1" applyAlignment="1">
      <alignment horizontal="center" vertical="center" wrapText="1"/>
      <protection/>
    </xf>
    <xf numFmtId="1" fontId="24" fillId="8" borderId="0" xfId="22" applyNumberFormat="1" applyFont="1" applyFill="1" applyAlignment="1">
      <alignment horizontal="center" vertical="center" wrapText="1"/>
      <protection/>
    </xf>
    <xf numFmtId="1" fontId="24" fillId="8" borderId="74" xfId="22" applyNumberFormat="1" applyFont="1" applyFill="1" applyBorder="1" applyAlignment="1">
      <alignment horizontal="center" vertical="center" wrapText="1"/>
      <protection/>
    </xf>
    <xf numFmtId="1" fontId="24" fillId="8" borderId="2" xfId="22" applyNumberFormat="1" applyFont="1" applyFill="1" applyBorder="1" applyAlignment="1">
      <alignment horizontal="center" vertical="center" wrapText="1"/>
      <protection/>
    </xf>
    <xf numFmtId="1" fontId="24" fillId="8" borderId="3" xfId="22" applyNumberFormat="1" applyFont="1" applyFill="1" applyBorder="1" applyAlignment="1">
      <alignment horizontal="center" vertical="center" wrapText="1"/>
      <protection/>
    </xf>
    <xf numFmtId="1" fontId="24" fillId="8" borderId="75" xfId="22" applyNumberFormat="1" applyFont="1" applyFill="1" applyBorder="1" applyAlignment="1">
      <alignment horizontal="center" vertical="center" wrapText="1"/>
      <protection/>
    </xf>
    <xf numFmtId="2" fontId="24" fillId="8" borderId="40" xfId="22" applyNumberFormat="1" applyFont="1" applyFill="1" applyBorder="1" applyAlignment="1">
      <alignment horizontal="center" vertical="center" wrapText="1"/>
      <protection/>
    </xf>
    <xf numFmtId="2" fontId="24" fillId="8" borderId="0" xfId="22" applyNumberFormat="1" applyFont="1" applyFill="1" applyAlignment="1">
      <alignment horizontal="center" vertical="center" wrapText="1"/>
      <protection/>
    </xf>
    <xf numFmtId="2" fontId="24" fillId="8" borderId="74" xfId="22" applyNumberFormat="1" applyFont="1" applyFill="1" applyBorder="1" applyAlignment="1">
      <alignment horizontal="center" vertical="center" wrapText="1"/>
      <protection/>
    </xf>
    <xf numFmtId="1" fontId="25" fillId="8" borderId="0" xfId="22" applyNumberFormat="1" applyFont="1" applyFill="1" applyAlignment="1">
      <alignment horizontal="center" vertical="center" wrapText="1"/>
      <protection/>
    </xf>
    <xf numFmtId="1" fontId="25" fillId="8" borderId="74" xfId="22" applyNumberFormat="1" applyFont="1" applyFill="1" applyBorder="1" applyAlignment="1">
      <alignment horizontal="center" vertical="center" wrapText="1"/>
      <protection/>
    </xf>
    <xf numFmtId="1" fontId="25" fillId="8" borderId="40" xfId="22" applyNumberFormat="1" applyFont="1" applyFill="1" applyBorder="1" applyAlignment="1">
      <alignment horizontal="center" vertical="center" wrapText="1"/>
      <protection/>
    </xf>
    <xf numFmtId="1" fontId="26" fillId="8" borderId="0" xfId="22" applyNumberFormat="1" applyFont="1" applyFill="1" applyAlignment="1">
      <alignment horizontal="center" vertical="center" wrapText="1"/>
      <protection/>
    </xf>
    <xf numFmtId="167" fontId="24" fillId="8" borderId="40" xfId="22" applyNumberFormat="1" applyFont="1" applyFill="1" applyBorder="1" applyAlignment="1">
      <alignment horizontal="center" vertical="center" wrapText="1"/>
      <protection/>
    </xf>
    <xf numFmtId="167" fontId="24" fillId="8" borderId="0" xfId="22" applyNumberFormat="1" applyFont="1" applyFill="1" applyAlignment="1">
      <alignment horizontal="center" vertical="center" wrapText="1"/>
      <protection/>
    </xf>
    <xf numFmtId="167" fontId="26" fillId="8" borderId="0" xfId="22" applyNumberFormat="1" applyFont="1" applyFill="1" applyAlignment="1">
      <alignment horizontal="center" vertical="center" wrapText="1"/>
      <protection/>
    </xf>
    <xf numFmtId="167" fontId="25" fillId="8" borderId="0" xfId="22" applyNumberFormat="1" applyFont="1" applyFill="1" applyAlignment="1">
      <alignment horizontal="center" vertical="center" wrapText="1"/>
      <protection/>
    </xf>
    <xf numFmtId="167" fontId="25" fillId="8" borderId="74" xfId="22" applyNumberFormat="1" applyFont="1" applyFill="1" applyBorder="1" applyAlignment="1">
      <alignment horizontal="center" vertical="center" wrapText="1"/>
      <protection/>
    </xf>
    <xf numFmtId="167" fontId="25" fillId="8" borderId="40" xfId="22" applyNumberFormat="1" applyFont="1" applyFill="1" applyBorder="1" applyAlignment="1">
      <alignment horizontal="center" vertical="center" wrapText="1"/>
      <protection/>
    </xf>
    <xf numFmtId="0" fontId="22" fillId="7" borderId="57" xfId="22" applyFont="1" applyFill="1" applyBorder="1" applyAlignment="1">
      <alignment horizontal="center" vertical="center" wrapText="1"/>
      <protection/>
    </xf>
    <xf numFmtId="0" fontId="22" fillId="7" borderId="45" xfId="22" applyFont="1" applyFill="1" applyBorder="1" applyAlignment="1">
      <alignment horizontal="center" vertical="center" wrapText="1"/>
      <protection/>
    </xf>
    <xf numFmtId="9" fontId="27" fillId="7" borderId="45" xfId="22" applyNumberFormat="1" applyFont="1" applyFill="1" applyBorder="1" applyAlignment="1">
      <alignment horizontal="center" vertical="center" wrapText="1"/>
      <protection/>
    </xf>
    <xf numFmtId="167" fontId="24" fillId="8" borderId="76" xfId="22" applyNumberFormat="1" applyFont="1" applyFill="1" applyBorder="1" applyAlignment="1">
      <alignment horizontal="center" vertical="center" wrapText="1"/>
      <protection/>
    </xf>
    <xf numFmtId="167" fontId="24" fillId="8" borderId="45" xfId="22" applyNumberFormat="1" applyFont="1" applyFill="1" applyBorder="1" applyAlignment="1">
      <alignment horizontal="center" vertical="center" wrapText="1"/>
      <protection/>
    </xf>
    <xf numFmtId="167" fontId="26" fillId="8" borderId="45" xfId="22" applyNumberFormat="1" applyFont="1" applyFill="1" applyBorder="1" applyAlignment="1">
      <alignment horizontal="center" vertical="center" wrapText="1"/>
      <protection/>
    </xf>
    <xf numFmtId="167" fontId="25" fillId="8" borderId="45" xfId="22" applyNumberFormat="1" applyFont="1" applyFill="1" applyBorder="1" applyAlignment="1">
      <alignment horizontal="center" vertical="center" wrapText="1"/>
      <protection/>
    </xf>
    <xf numFmtId="167" fontId="25" fillId="8" borderId="65" xfId="22" applyNumberFormat="1" applyFont="1" applyFill="1" applyBorder="1" applyAlignment="1">
      <alignment horizontal="center" vertical="center" wrapText="1"/>
      <protection/>
    </xf>
    <xf numFmtId="167" fontId="25" fillId="8" borderId="76" xfId="22" applyNumberFormat="1" applyFont="1" applyFill="1" applyBorder="1" applyAlignment="1">
      <alignment horizontal="center" vertical="center" wrapText="1"/>
      <protection/>
    </xf>
    <xf numFmtId="166" fontId="22" fillId="7" borderId="40" xfId="22" applyNumberFormat="1" applyFont="1" applyFill="1" applyBorder="1" applyAlignment="1">
      <alignment horizontal="center" vertical="center" wrapText="1"/>
      <protection/>
    </xf>
    <xf numFmtId="166" fontId="22" fillId="7" borderId="74" xfId="22" applyNumberFormat="1" applyFont="1" applyFill="1" applyBorder="1" applyAlignment="1">
      <alignment horizontal="center" vertical="center" wrapText="1"/>
      <protection/>
    </xf>
    <xf numFmtId="166" fontId="22" fillId="7" borderId="0" xfId="22" applyNumberFormat="1" applyFont="1" applyFill="1" applyAlignment="1">
      <alignment horizontal="center" vertical="center" wrapText="1"/>
      <protection/>
    </xf>
    <xf numFmtId="1" fontId="28" fillId="8" borderId="0" xfId="22" applyNumberFormat="1" applyFont="1" applyFill="1" applyAlignment="1">
      <alignment horizontal="center" vertical="center" wrapText="1"/>
      <protection/>
    </xf>
    <xf numFmtId="166" fontId="27" fillId="7" borderId="74" xfId="22" applyNumberFormat="1" applyFont="1" applyFill="1" applyBorder="1" applyAlignment="1">
      <alignment horizontal="center" vertical="center" wrapText="1"/>
      <protection/>
    </xf>
    <xf numFmtId="166" fontId="29" fillId="7" borderId="74" xfId="22" applyNumberFormat="1" applyFont="1" applyFill="1" applyBorder="1" applyAlignment="1">
      <alignment horizontal="center" vertical="center" wrapText="1"/>
      <protection/>
    </xf>
    <xf numFmtId="1" fontId="30" fillId="8" borderId="0" xfId="22" applyNumberFormat="1" applyFont="1" applyFill="1" applyAlignment="1">
      <alignment horizontal="center" vertical="center" wrapText="1"/>
      <protection/>
    </xf>
    <xf numFmtId="1" fontId="31" fillId="8" borderId="0" xfId="22" applyNumberFormat="1" applyFont="1" applyFill="1" applyAlignment="1">
      <alignment horizontal="center" vertical="center" wrapText="1"/>
      <protection/>
    </xf>
    <xf numFmtId="166" fontId="22" fillId="7" borderId="76" xfId="22" applyNumberFormat="1" applyFont="1" applyFill="1" applyBorder="1" applyAlignment="1">
      <alignment horizontal="center" vertical="center" wrapText="1"/>
      <protection/>
    </xf>
    <xf numFmtId="166" fontId="29" fillId="7" borderId="65" xfId="22" applyNumberFormat="1" applyFont="1" applyFill="1" applyBorder="1" applyAlignment="1">
      <alignment horizontal="center" vertical="center" wrapText="1"/>
      <protection/>
    </xf>
    <xf numFmtId="0" fontId="22" fillId="7" borderId="54" xfId="22" applyFont="1" applyFill="1" applyBorder="1" applyAlignment="1">
      <alignment horizontal="center" vertical="center" wrapText="1"/>
      <protection/>
    </xf>
    <xf numFmtId="166" fontId="22" fillId="7" borderId="48" xfId="22" applyNumberFormat="1" applyFont="1" applyFill="1" applyBorder="1" applyAlignment="1">
      <alignment horizontal="center" vertical="center" wrapText="1"/>
      <protection/>
    </xf>
    <xf numFmtId="166" fontId="22" fillId="7" borderId="72" xfId="22" applyNumberFormat="1" applyFont="1" applyFill="1" applyBorder="1" applyAlignment="1">
      <alignment horizontal="center" vertical="center" wrapText="1"/>
      <protection/>
    </xf>
    <xf numFmtId="166" fontId="22" fillId="7" borderId="50" xfId="22" applyNumberFormat="1" applyFont="1" applyFill="1" applyBorder="1" applyAlignment="1">
      <alignment horizontal="center" vertical="center" wrapText="1"/>
      <protection/>
    </xf>
    <xf numFmtId="1" fontId="24" fillId="8" borderId="48" xfId="22" applyNumberFormat="1" applyFont="1" applyFill="1" applyBorder="1" applyAlignment="1">
      <alignment horizontal="center" vertical="center" wrapText="1"/>
      <protection/>
    </xf>
    <xf numFmtId="1" fontId="24" fillId="8" borderId="72" xfId="22" applyNumberFormat="1" applyFont="1" applyFill="1" applyBorder="1" applyAlignment="1">
      <alignment horizontal="center" vertical="center" wrapText="1"/>
      <protection/>
    </xf>
    <xf numFmtId="1" fontId="25" fillId="8" borderId="72" xfId="22" applyNumberFormat="1" applyFont="1" applyFill="1" applyBorder="1" applyAlignment="1">
      <alignment horizontal="center" vertical="center" wrapText="1"/>
      <protection/>
    </xf>
    <xf numFmtId="1" fontId="28" fillId="8" borderId="72" xfId="22" applyNumberFormat="1" applyFont="1" applyFill="1" applyBorder="1" applyAlignment="1">
      <alignment horizontal="center" vertical="center" wrapText="1"/>
      <protection/>
    </xf>
    <xf numFmtId="1" fontId="25" fillId="8" borderId="48" xfId="22" applyNumberFormat="1" applyFont="1" applyFill="1" applyBorder="1" applyAlignment="1">
      <alignment horizontal="center" vertical="center" wrapText="1"/>
      <protection/>
    </xf>
    <xf numFmtId="1" fontId="25" fillId="8" borderId="50" xfId="22" applyNumberFormat="1" applyFont="1" applyFill="1" applyBorder="1" applyAlignment="1">
      <alignment horizontal="center" vertical="center" wrapText="1"/>
      <protection/>
    </xf>
    <xf numFmtId="0" fontId="3" fillId="0" borderId="0" xfId="22" applyFont="1" applyAlignment="1">
      <alignment horizontal="center" vertical="center"/>
      <protection/>
    </xf>
    <xf numFmtId="1" fontId="3" fillId="0" borderId="0" xfId="22" applyNumberFormat="1" applyFont="1">
      <alignment/>
      <protection/>
    </xf>
    <xf numFmtId="9" fontId="22" fillId="7" borderId="40" xfId="22" applyNumberFormat="1" applyFont="1" applyFill="1" applyBorder="1" applyAlignment="1">
      <alignment horizontal="center" vertical="center" wrapText="1"/>
      <protection/>
    </xf>
    <xf numFmtId="9" fontId="22" fillId="7" borderId="74" xfId="22" applyNumberFormat="1" applyFont="1" applyFill="1" applyBorder="1" applyAlignment="1">
      <alignment horizontal="center" vertical="center" wrapText="1"/>
      <protection/>
    </xf>
    <xf numFmtId="0" fontId="3" fillId="0" borderId="77" xfId="22" applyFont="1" applyBorder="1">
      <alignment/>
      <protection/>
    </xf>
    <xf numFmtId="0" fontId="32" fillId="7" borderId="73" xfId="22" applyFont="1" applyFill="1" applyBorder="1" applyAlignment="1">
      <alignment horizontal="center" vertical="center" wrapText="1"/>
      <protection/>
    </xf>
    <xf numFmtId="9" fontId="32" fillId="7" borderId="40" xfId="22" applyNumberFormat="1" applyFont="1" applyFill="1" applyBorder="1" applyAlignment="1">
      <alignment horizontal="center" vertical="center" wrapText="1"/>
      <protection/>
    </xf>
    <xf numFmtId="9" fontId="32" fillId="7" borderId="74" xfId="22" applyNumberFormat="1" applyFont="1" applyFill="1" applyBorder="1" applyAlignment="1">
      <alignment horizontal="center" vertical="center" wrapText="1"/>
      <protection/>
    </xf>
    <xf numFmtId="0" fontId="33" fillId="0" borderId="0" xfId="22" applyFont="1">
      <alignment/>
      <protection/>
    </xf>
    <xf numFmtId="9" fontId="34" fillId="7" borderId="74" xfId="22" applyNumberFormat="1" applyFont="1" applyFill="1" applyBorder="1" applyAlignment="1">
      <alignment horizontal="center" vertical="center" wrapText="1"/>
      <protection/>
    </xf>
    <xf numFmtId="9" fontId="22" fillId="7" borderId="76" xfId="22" applyNumberFormat="1" applyFont="1" applyFill="1" applyBorder="1" applyAlignment="1">
      <alignment horizontal="center" vertical="center" wrapText="1"/>
      <protection/>
    </xf>
    <xf numFmtId="9" fontId="22" fillId="7" borderId="65" xfId="22" applyNumberFormat="1" applyFont="1" applyFill="1" applyBorder="1" applyAlignment="1">
      <alignment horizontal="center" vertical="center" wrapText="1"/>
      <protection/>
    </xf>
    <xf numFmtId="1" fontId="24" fillId="8" borderId="76" xfId="22" applyNumberFormat="1" applyFont="1" applyFill="1" applyBorder="1" applyAlignment="1">
      <alignment horizontal="center" vertical="center" wrapText="1"/>
      <protection/>
    </xf>
    <xf numFmtId="1" fontId="24" fillId="8" borderId="45" xfId="22" applyNumberFormat="1" applyFont="1" applyFill="1" applyBorder="1" applyAlignment="1">
      <alignment horizontal="center" vertical="center" wrapText="1"/>
      <protection/>
    </xf>
    <xf numFmtId="1" fontId="26" fillId="8" borderId="45" xfId="22" applyNumberFormat="1" applyFont="1" applyFill="1" applyBorder="1" applyAlignment="1">
      <alignment horizontal="center" vertical="center" wrapText="1"/>
      <protection/>
    </xf>
    <xf numFmtId="1" fontId="24" fillId="8" borderId="65" xfId="22" applyNumberFormat="1" applyFont="1" applyFill="1" applyBorder="1" applyAlignment="1">
      <alignment horizontal="center" vertical="center" wrapText="1"/>
      <protection/>
    </xf>
    <xf numFmtId="0" fontId="20" fillId="0" borderId="0" xfId="22" applyFont="1" applyAlignment="1">
      <alignment horizontal="center" vertical="center"/>
      <protection/>
    </xf>
    <xf numFmtId="0" fontId="35" fillId="0" borderId="0" xfId="0" applyFont="1"/>
    <xf numFmtId="9" fontId="27" fillId="7" borderId="74" xfId="22" applyNumberFormat="1" applyFont="1" applyFill="1" applyBorder="1" applyAlignment="1">
      <alignment horizontal="center" vertical="center" wrapText="1"/>
      <protection/>
    </xf>
    <xf numFmtId="1" fontId="28" fillId="8" borderId="74" xfId="22" applyNumberFormat="1" applyFont="1" applyFill="1" applyBorder="1" applyAlignment="1">
      <alignment horizontal="center" vertical="center" wrapText="1"/>
      <protection/>
    </xf>
    <xf numFmtId="9" fontId="29" fillId="7" borderId="74" xfId="22" applyNumberFormat="1" applyFont="1" applyFill="1" applyBorder="1" applyAlignment="1">
      <alignment horizontal="center" vertical="center" wrapText="1"/>
      <protection/>
    </xf>
    <xf numFmtId="9" fontId="27" fillId="7" borderId="40" xfId="22" applyNumberFormat="1" applyFont="1" applyFill="1" applyBorder="1" applyAlignment="1">
      <alignment horizontal="center" vertical="center" wrapText="1"/>
      <protection/>
    </xf>
    <xf numFmtId="9" fontId="22" fillId="7" borderId="48" xfId="22" applyNumberFormat="1" applyFont="1" applyFill="1" applyBorder="1" applyAlignment="1">
      <alignment horizontal="center" vertical="center" wrapText="1"/>
      <protection/>
    </xf>
    <xf numFmtId="9" fontId="22" fillId="7" borderId="50" xfId="22" applyNumberFormat="1" applyFont="1" applyFill="1" applyBorder="1" applyAlignment="1">
      <alignment horizontal="center" vertical="center" wrapText="1"/>
      <protection/>
    </xf>
    <xf numFmtId="1" fontId="26" fillId="8" borderId="72" xfId="22" applyNumberFormat="1" applyFont="1" applyFill="1" applyBorder="1" applyAlignment="1">
      <alignment horizontal="center" vertical="center" wrapText="1"/>
      <protection/>
    </xf>
    <xf numFmtId="0" fontId="32" fillId="5" borderId="54" xfId="22" applyFont="1" applyFill="1" applyBorder="1" applyAlignment="1">
      <alignment horizontal="center" vertical="center" wrapText="1"/>
      <protection/>
    </xf>
    <xf numFmtId="1" fontId="25" fillId="8" borderId="45" xfId="22" applyNumberFormat="1" applyFont="1" applyFill="1" applyBorder="1" applyAlignment="1">
      <alignment horizontal="center" vertical="center" wrapText="1"/>
      <protection/>
    </xf>
    <xf numFmtId="1" fontId="25" fillId="8" borderId="65" xfId="22" applyNumberFormat="1" applyFont="1" applyFill="1" applyBorder="1" applyAlignment="1">
      <alignment horizontal="center" vertical="center" wrapText="1"/>
      <protection/>
    </xf>
    <xf numFmtId="1" fontId="25" fillId="8" borderId="76" xfId="22" applyNumberFormat="1" applyFont="1" applyFill="1" applyBorder="1" applyAlignment="1">
      <alignment horizontal="center" vertical="center" wrapText="1"/>
      <protection/>
    </xf>
    <xf numFmtId="0" fontId="22" fillId="0" borderId="0" xfId="22" applyFont="1" applyAlignment="1">
      <alignment horizontal="center" vertical="center" wrapText="1"/>
      <protection/>
    </xf>
    <xf numFmtId="9" fontId="22" fillId="0" borderId="0" xfId="22" applyNumberFormat="1" applyFont="1" applyAlignment="1">
      <alignment horizontal="center" vertical="center" wrapText="1"/>
      <protection/>
    </xf>
    <xf numFmtId="1" fontId="24" fillId="0" borderId="0" xfId="22" applyNumberFormat="1" applyFont="1" applyAlignment="1">
      <alignment horizontal="center" vertical="center" wrapText="1"/>
      <protection/>
    </xf>
    <xf numFmtId="1" fontId="26" fillId="0" borderId="0" xfId="22" applyNumberFormat="1" applyFont="1" applyAlignment="1">
      <alignment horizontal="center" vertical="center" wrapText="1"/>
      <protection/>
    </xf>
    <xf numFmtId="1" fontId="25" fillId="0" borderId="0" xfId="22" applyNumberFormat="1" applyFont="1" applyAlignment="1">
      <alignment horizontal="center" vertical="center" wrapText="1"/>
      <protection/>
    </xf>
    <xf numFmtId="2" fontId="25" fillId="0" borderId="0" xfId="22" applyNumberFormat="1" applyFont="1" applyAlignment="1">
      <alignment horizontal="center" vertical="center" wrapText="1"/>
      <protection/>
    </xf>
    <xf numFmtId="1" fontId="3" fillId="0" borderId="0" xfId="22" applyNumberFormat="1" applyFont="1" applyAlignment="1">
      <alignment horizontal="center" vertical="center"/>
      <protection/>
    </xf>
    <xf numFmtId="9" fontId="34" fillId="7" borderId="40" xfId="22" applyNumberFormat="1" applyFont="1" applyFill="1" applyBorder="1" applyAlignment="1">
      <alignment horizontal="center" vertical="center" wrapText="1"/>
      <protection/>
    </xf>
    <xf numFmtId="1" fontId="25" fillId="9" borderId="40" xfId="22" applyNumberFormat="1" applyFont="1" applyFill="1" applyBorder="1" applyAlignment="1">
      <alignment horizontal="center" vertical="center" wrapText="1"/>
      <protection/>
    </xf>
    <xf numFmtId="1" fontId="25" fillId="9" borderId="0" xfId="22" applyNumberFormat="1" applyFont="1" applyFill="1" applyAlignment="1">
      <alignment horizontal="center" vertical="center" wrapText="1"/>
      <protection/>
    </xf>
    <xf numFmtId="1" fontId="28" fillId="9" borderId="0" xfId="22" applyNumberFormat="1" applyFont="1" applyFill="1" applyAlignment="1">
      <alignment horizontal="center" vertical="center" wrapText="1"/>
      <protection/>
    </xf>
    <xf numFmtId="1" fontId="36" fillId="8" borderId="74" xfId="22" applyNumberFormat="1" applyFont="1" applyFill="1" applyBorder="1" applyAlignment="1">
      <alignment horizontal="center" vertical="center" wrapText="1"/>
      <protection/>
    </xf>
    <xf numFmtId="1" fontId="36" fillId="8" borderId="40" xfId="22" applyNumberFormat="1" applyFont="1" applyFill="1" applyBorder="1" applyAlignment="1">
      <alignment horizontal="center" vertical="center" wrapText="1"/>
      <protection/>
    </xf>
    <xf numFmtId="1" fontId="30" fillId="8" borderId="40" xfId="22" applyNumberFormat="1" applyFont="1" applyFill="1" applyBorder="1" applyAlignment="1">
      <alignment horizontal="center" vertical="center" wrapText="1"/>
      <protection/>
    </xf>
    <xf numFmtId="1" fontId="30" fillId="8" borderId="74" xfId="22" applyNumberFormat="1" applyFont="1" applyFill="1" applyBorder="1" applyAlignment="1">
      <alignment horizontal="center" vertical="center" wrapText="1"/>
      <protection/>
    </xf>
    <xf numFmtId="9" fontId="3" fillId="0" borderId="0" xfId="22" applyNumberFormat="1" applyFont="1">
      <alignment/>
      <protection/>
    </xf>
    <xf numFmtId="9" fontId="37" fillId="7" borderId="74" xfId="22" applyNumberFormat="1" applyFont="1" applyFill="1" applyBorder="1" applyAlignment="1">
      <alignment horizontal="center" vertical="center" wrapText="1"/>
      <protection/>
    </xf>
    <xf numFmtId="165" fontId="24" fillId="8" borderId="76" xfId="21" applyNumberFormat="1" applyFont="1" applyFill="1" applyBorder="1" applyAlignment="1">
      <alignment horizontal="center" vertical="center" wrapText="1"/>
    </xf>
    <xf numFmtId="165" fontId="24" fillId="8" borderId="45" xfId="21" applyNumberFormat="1" applyFont="1" applyFill="1" applyBorder="1" applyAlignment="1">
      <alignment horizontal="center" vertical="center" wrapText="1"/>
    </xf>
    <xf numFmtId="165" fontId="24" fillId="8" borderId="65" xfId="21" applyNumberFormat="1" applyFont="1" applyFill="1" applyBorder="1" applyAlignment="1">
      <alignment horizontal="center" vertical="center" wrapText="1"/>
    </xf>
    <xf numFmtId="9" fontId="29" fillId="7" borderId="50" xfId="22" applyNumberFormat="1" applyFont="1" applyFill="1" applyBorder="1" applyAlignment="1">
      <alignment horizontal="center" vertical="center" wrapText="1"/>
      <protection/>
    </xf>
    <xf numFmtId="9" fontId="34" fillId="7" borderId="48" xfId="22" applyNumberFormat="1" applyFont="1" applyFill="1" applyBorder="1" applyAlignment="1">
      <alignment horizontal="center" vertical="center" wrapText="1"/>
      <protection/>
    </xf>
    <xf numFmtId="9" fontId="34" fillId="7" borderId="50" xfId="22" applyNumberFormat="1" applyFont="1" applyFill="1" applyBorder="1" applyAlignment="1">
      <alignment horizontal="center" vertical="center" wrapText="1"/>
      <protection/>
    </xf>
    <xf numFmtId="1" fontId="24" fillId="8" borderId="50" xfId="22" applyNumberFormat="1" applyFont="1" applyFill="1" applyBorder="1" applyAlignment="1">
      <alignment horizontal="center" vertical="center" wrapText="1"/>
      <protection/>
    </xf>
    <xf numFmtId="1" fontId="30" fillId="8" borderId="48" xfId="22" applyNumberFormat="1" applyFont="1" applyFill="1" applyBorder="1" applyAlignment="1">
      <alignment horizontal="center" vertical="center" wrapText="1"/>
      <protection/>
    </xf>
    <xf numFmtId="1" fontId="30" fillId="8" borderId="72" xfId="22" applyNumberFormat="1" applyFont="1" applyFill="1" applyBorder="1" applyAlignment="1">
      <alignment horizontal="center" vertical="center" wrapText="1"/>
      <protection/>
    </xf>
    <xf numFmtId="1" fontId="30" fillId="8" borderId="50" xfId="22" applyNumberFormat="1" applyFont="1" applyFill="1" applyBorder="1" applyAlignment="1">
      <alignment horizontal="center" vertical="center" wrapText="1"/>
      <protection/>
    </xf>
    <xf numFmtId="1" fontId="38" fillId="8" borderId="0" xfId="22" applyNumberFormat="1" applyFont="1" applyFill="1" applyAlignment="1">
      <alignment horizontal="center" vertical="center" wrapText="1"/>
      <protection/>
    </xf>
    <xf numFmtId="1" fontId="38" fillId="8" borderId="74" xfId="22" applyNumberFormat="1" applyFont="1" applyFill="1" applyBorder="1" applyAlignment="1">
      <alignment horizontal="center" vertical="center" wrapText="1"/>
      <protection/>
    </xf>
    <xf numFmtId="1" fontId="38" fillId="8" borderId="40" xfId="22" applyNumberFormat="1" applyFont="1" applyFill="1" applyBorder="1" applyAlignment="1">
      <alignment horizontal="center" vertical="center" wrapText="1"/>
      <protection/>
    </xf>
    <xf numFmtId="1" fontId="36" fillId="8" borderId="50" xfId="22" applyNumberFormat="1" applyFont="1" applyFill="1" applyBorder="1" applyAlignment="1">
      <alignment horizontal="center" vertical="center" wrapText="1"/>
      <protection/>
    </xf>
    <xf numFmtId="1" fontId="36" fillId="8" borderId="48" xfId="22" applyNumberFormat="1" applyFont="1" applyFill="1" applyBorder="1" applyAlignment="1">
      <alignment horizontal="center" vertical="center" wrapText="1"/>
      <protection/>
    </xf>
    <xf numFmtId="0" fontId="22" fillId="5" borderId="56" xfId="22" applyFont="1" applyFill="1" applyBorder="1" applyAlignment="1">
      <alignment horizontal="center" vertical="center" wrapText="1"/>
      <protection/>
    </xf>
    <xf numFmtId="0" fontId="22" fillId="5" borderId="2" xfId="22" applyFont="1" applyFill="1" applyBorder="1" applyAlignment="1">
      <alignment horizontal="center" vertical="center" wrapText="1"/>
      <protection/>
    </xf>
    <xf numFmtId="0" fontId="22" fillId="5" borderId="75" xfId="22" applyFont="1" applyFill="1" applyBorder="1" applyAlignment="1">
      <alignment horizontal="center" vertical="center" wrapText="1"/>
      <protection/>
    </xf>
    <xf numFmtId="0" fontId="22" fillId="5" borderId="3" xfId="22" applyFont="1" applyFill="1" applyBorder="1" applyAlignment="1">
      <alignment horizontal="center" vertical="center" wrapText="1"/>
      <protection/>
    </xf>
    <xf numFmtId="0" fontId="22" fillId="7" borderId="56" xfId="22" applyFont="1" applyFill="1" applyBorder="1" applyAlignment="1">
      <alignment horizontal="center" vertical="center" wrapText="1"/>
      <protection/>
    </xf>
    <xf numFmtId="9" fontId="22" fillId="7" borderId="2" xfId="22" applyNumberFormat="1" applyFont="1" applyFill="1" applyBorder="1" applyAlignment="1">
      <alignment horizontal="center" vertical="center" wrapText="1"/>
      <protection/>
    </xf>
    <xf numFmtId="9" fontId="22" fillId="7" borderId="75" xfId="22" applyNumberFormat="1" applyFont="1" applyFill="1" applyBorder="1" applyAlignment="1">
      <alignment horizontal="center" vertical="center" wrapText="1"/>
      <protection/>
    </xf>
    <xf numFmtId="9" fontId="27" fillId="7" borderId="75" xfId="22" applyNumberFormat="1" applyFont="1" applyFill="1" applyBorder="1" applyAlignment="1">
      <alignment horizontal="center" vertical="center" wrapText="1"/>
      <protection/>
    </xf>
    <xf numFmtId="2" fontId="24" fillId="8" borderId="2" xfId="22" applyNumberFormat="1" applyFont="1" applyFill="1" applyBorder="1" applyAlignment="1">
      <alignment horizontal="center" vertical="center" wrapText="1"/>
      <protection/>
    </xf>
    <xf numFmtId="2" fontId="24" fillId="8" borderId="3" xfId="22" applyNumberFormat="1" applyFont="1" applyFill="1" applyBorder="1" applyAlignment="1">
      <alignment horizontal="center" vertical="center" wrapText="1"/>
      <protection/>
    </xf>
    <xf numFmtId="2" fontId="39" fillId="8" borderId="3" xfId="22" applyNumberFormat="1" applyFont="1" applyFill="1" applyBorder="1" applyAlignment="1">
      <alignment horizontal="center" vertical="center" wrapText="1"/>
      <protection/>
    </xf>
    <xf numFmtId="2" fontId="24" fillId="8" borderId="75" xfId="22" applyNumberFormat="1" applyFont="1" applyFill="1" applyBorder="1" applyAlignment="1">
      <alignment horizontal="center" vertical="center" wrapText="1"/>
      <protection/>
    </xf>
    <xf numFmtId="167" fontId="24" fillId="8" borderId="2" xfId="22" applyNumberFormat="1" applyFont="1" applyFill="1" applyBorder="1" applyAlignment="1">
      <alignment horizontal="center" vertical="center" wrapText="1"/>
      <protection/>
    </xf>
    <xf numFmtId="167" fontId="24" fillId="8" borderId="3" xfId="22" applyNumberFormat="1" applyFont="1" applyFill="1" applyBorder="1" applyAlignment="1">
      <alignment horizontal="center" vertical="center" wrapText="1"/>
      <protection/>
    </xf>
    <xf numFmtId="167" fontId="24" fillId="8" borderId="75" xfId="22" applyNumberFormat="1" applyFont="1" applyFill="1" applyBorder="1" applyAlignment="1">
      <alignment horizontal="center" vertical="center" wrapText="1"/>
      <protection/>
    </xf>
    <xf numFmtId="2" fontId="39" fillId="8" borderId="0" xfId="22" applyNumberFormat="1" applyFont="1" applyFill="1" applyAlignment="1">
      <alignment horizontal="center" vertical="center" wrapText="1"/>
      <protection/>
    </xf>
    <xf numFmtId="167" fontId="24" fillId="8" borderId="74" xfId="22" applyNumberFormat="1" applyFont="1" applyFill="1" applyBorder="1" applyAlignment="1">
      <alignment horizontal="center" vertical="center" wrapText="1"/>
      <protection/>
    </xf>
    <xf numFmtId="9" fontId="27" fillId="7" borderId="65" xfId="22" applyNumberFormat="1" applyFont="1" applyFill="1" applyBorder="1" applyAlignment="1">
      <alignment horizontal="center" vertical="center" wrapText="1"/>
      <protection/>
    </xf>
    <xf numFmtId="2" fontId="24" fillId="8" borderId="76" xfId="22" applyNumberFormat="1" applyFont="1" applyFill="1" applyBorder="1" applyAlignment="1">
      <alignment horizontal="center" vertical="center" wrapText="1"/>
      <protection/>
    </xf>
    <xf numFmtId="2" fontId="24" fillId="8" borderId="45" xfId="22" applyNumberFormat="1" applyFont="1" applyFill="1" applyBorder="1" applyAlignment="1">
      <alignment horizontal="center" vertical="center" wrapText="1"/>
      <protection/>
    </xf>
    <xf numFmtId="2" fontId="39" fillId="8" borderId="45" xfId="22" applyNumberFormat="1" applyFont="1" applyFill="1" applyBorder="1" applyAlignment="1">
      <alignment horizontal="center" vertical="center" wrapText="1"/>
      <protection/>
    </xf>
    <xf numFmtId="2" fontId="24" fillId="8" borderId="65" xfId="22" applyNumberFormat="1" applyFont="1" applyFill="1" applyBorder="1" applyAlignment="1">
      <alignment horizontal="center" vertical="center" wrapText="1"/>
      <protection/>
    </xf>
    <xf numFmtId="167" fontId="24" fillId="8" borderId="65" xfId="22" applyNumberFormat="1" applyFont="1" applyFill="1" applyBorder="1" applyAlignment="1">
      <alignment horizontal="center" vertical="center" wrapText="1"/>
      <protection/>
    </xf>
    <xf numFmtId="168" fontId="24" fillId="8" borderId="40" xfId="22" applyNumberFormat="1" applyFont="1" applyFill="1" applyBorder="1" applyAlignment="1">
      <alignment horizontal="center" vertical="center" wrapText="1"/>
      <protection/>
    </xf>
    <xf numFmtId="168" fontId="24" fillId="8" borderId="0" xfId="22" applyNumberFormat="1" applyFont="1" applyFill="1" applyAlignment="1">
      <alignment horizontal="center" vertical="center" wrapText="1"/>
      <protection/>
    </xf>
    <xf numFmtId="168" fontId="31" fillId="8" borderId="0" xfId="22" applyNumberFormat="1" applyFont="1" applyFill="1" applyAlignment="1">
      <alignment horizontal="center" vertical="center" wrapText="1"/>
      <protection/>
    </xf>
    <xf numFmtId="168" fontId="24" fillId="8" borderId="74" xfId="22" applyNumberFormat="1" applyFont="1" applyFill="1" applyBorder="1" applyAlignment="1">
      <alignment horizontal="center" vertical="center" wrapText="1"/>
      <protection/>
    </xf>
    <xf numFmtId="9" fontId="34" fillId="7" borderId="65" xfId="22" applyNumberFormat="1" applyFont="1" applyFill="1" applyBorder="1" applyAlignment="1">
      <alignment horizontal="center" vertical="center" wrapText="1"/>
      <protection/>
    </xf>
    <xf numFmtId="168" fontId="24" fillId="8" borderId="76" xfId="22" applyNumberFormat="1" applyFont="1" applyFill="1" applyBorder="1" applyAlignment="1">
      <alignment horizontal="center" vertical="center" wrapText="1"/>
      <protection/>
    </xf>
    <xf numFmtId="168" fontId="24" fillId="8" borderId="45" xfId="22" applyNumberFormat="1" applyFont="1" applyFill="1" applyBorder="1" applyAlignment="1">
      <alignment horizontal="center" vertical="center" wrapText="1"/>
      <protection/>
    </xf>
    <xf numFmtId="168" fontId="31" fillId="8" borderId="45" xfId="22" applyNumberFormat="1" applyFont="1" applyFill="1" applyBorder="1" applyAlignment="1">
      <alignment horizontal="center" vertical="center" wrapText="1"/>
      <protection/>
    </xf>
    <xf numFmtId="168" fontId="24" fillId="8" borderId="65" xfId="22" applyNumberFormat="1" applyFont="1" applyFill="1" applyBorder="1" applyAlignment="1">
      <alignment horizontal="center" vertical="center" wrapText="1"/>
      <protection/>
    </xf>
    <xf numFmtId="0" fontId="40" fillId="0" borderId="0" xfId="22" applyFont="1">
      <alignment/>
      <protection/>
    </xf>
    <xf numFmtId="0" fontId="41" fillId="0" borderId="78" xfId="22" applyFont="1" applyBorder="1" applyAlignment="1">
      <alignment horizontal="center" vertical="center" wrapText="1"/>
      <protection/>
    </xf>
    <xf numFmtId="0" fontId="41" fillId="0" borderId="79" xfId="22" applyFont="1" applyBorder="1" applyAlignment="1">
      <alignment horizontal="center" vertical="center"/>
      <protection/>
    </xf>
    <xf numFmtId="0" fontId="41" fillId="0" borderId="80" xfId="22" applyFont="1" applyBorder="1" applyAlignment="1">
      <alignment horizontal="center" vertical="center"/>
      <protection/>
    </xf>
    <xf numFmtId="0" fontId="41" fillId="0" borderId="81" xfId="22" applyFont="1" applyBorder="1" applyAlignment="1">
      <alignment horizontal="center" vertical="center"/>
      <protection/>
    </xf>
    <xf numFmtId="0" fontId="42" fillId="0" borderId="40" xfId="22" applyFont="1" applyBorder="1" applyAlignment="1">
      <alignment horizontal="center" vertical="center"/>
      <protection/>
    </xf>
    <xf numFmtId="0" fontId="41" fillId="0" borderId="82" xfId="22" applyFont="1" applyBorder="1" applyAlignment="1">
      <alignment horizontal="center" vertical="center"/>
      <protection/>
    </xf>
    <xf numFmtId="167" fontId="3" fillId="0" borderId="83" xfId="22" applyNumberFormat="1" applyFont="1" applyBorder="1" applyAlignment="1">
      <alignment horizontal="center" vertical="center"/>
      <protection/>
    </xf>
    <xf numFmtId="167" fontId="3" fillId="0" borderId="54" xfId="22" applyNumberFormat="1" applyFont="1" applyBorder="1" applyAlignment="1">
      <alignment horizontal="center" vertical="center"/>
      <protection/>
    </xf>
    <xf numFmtId="167" fontId="3" fillId="0" borderId="48" xfId="22" applyNumberFormat="1" applyFont="1" applyBorder="1" applyAlignment="1">
      <alignment horizontal="center" vertical="center"/>
      <protection/>
    </xf>
    <xf numFmtId="0" fontId="3" fillId="0" borderId="73" xfId="22" applyFont="1" applyBorder="1" applyAlignment="1">
      <alignment vertical="center" wrapText="1"/>
      <protection/>
    </xf>
    <xf numFmtId="0" fontId="43" fillId="0" borderId="0" xfId="22" applyFont="1">
      <alignment/>
      <protection/>
    </xf>
    <xf numFmtId="167" fontId="10" fillId="0" borderId="83" xfId="22" applyNumberFormat="1" applyFont="1" applyBorder="1" applyAlignment="1">
      <alignment horizontal="center" vertical="center"/>
      <protection/>
    </xf>
    <xf numFmtId="167" fontId="10" fillId="0" borderId="54" xfId="22" applyNumberFormat="1" applyFont="1" applyBorder="1" applyAlignment="1">
      <alignment horizontal="center" vertical="center"/>
      <protection/>
    </xf>
    <xf numFmtId="167" fontId="10" fillId="0" borderId="48" xfId="22" applyNumberFormat="1" applyFont="1" applyBorder="1" applyAlignment="1">
      <alignment horizontal="center" vertical="center"/>
      <protection/>
    </xf>
    <xf numFmtId="0" fontId="41" fillId="0" borderId="84" xfId="22" applyFont="1" applyBorder="1" applyAlignment="1">
      <alignment horizontal="center" vertical="center"/>
      <protection/>
    </xf>
    <xf numFmtId="167" fontId="3" fillId="0" borderId="85" xfId="22" applyNumberFormat="1" applyFont="1" applyBorder="1" applyAlignment="1">
      <alignment horizontal="center" vertical="center"/>
      <protection/>
    </xf>
    <xf numFmtId="167" fontId="3" fillId="0" borderId="86" xfId="22" applyNumberFormat="1" applyFont="1" applyBorder="1" applyAlignment="1">
      <alignment horizontal="center" vertical="center"/>
      <protection/>
    </xf>
    <xf numFmtId="167" fontId="3" fillId="0" borderId="87" xfId="22" applyNumberFormat="1" applyFont="1" applyBorder="1" applyAlignment="1">
      <alignment horizontal="center" vertical="center"/>
      <protection/>
    </xf>
    <xf numFmtId="0" fontId="41" fillId="0" borderId="88" xfId="22" applyFont="1" applyBorder="1" applyAlignment="1">
      <alignment vertical="center" wrapText="1"/>
      <protection/>
    </xf>
    <xf numFmtId="0" fontId="3" fillId="0" borderId="0" xfId="22" applyFont="1" applyAlignment="1">
      <alignment wrapText="1"/>
      <protection/>
    </xf>
    <xf numFmtId="167" fontId="3" fillId="0" borderId="0" xfId="22" applyNumberFormat="1" applyFont="1">
      <alignment/>
      <protection/>
    </xf>
    <xf numFmtId="167" fontId="20" fillId="0" borderId="0" xfId="22" applyNumberFormat="1" applyFont="1">
      <alignment/>
      <protection/>
    </xf>
    <xf numFmtId="17" fontId="3" fillId="0" borderId="0" xfId="22" applyNumberFormat="1" applyFont="1">
      <alignment/>
      <protection/>
    </xf>
    <xf numFmtId="9" fontId="20" fillId="0" borderId="0" xfId="22" applyNumberFormat="1" applyFont="1">
      <alignment/>
      <protection/>
    </xf>
    <xf numFmtId="0" fontId="41" fillId="0" borderId="40" xfId="22" applyFont="1" applyBorder="1" applyAlignment="1">
      <alignment horizontal="center" vertical="center"/>
      <protection/>
    </xf>
    <xf numFmtId="0" fontId="44" fillId="0" borderId="0" xfId="22" applyFont="1">
      <alignment/>
      <protection/>
    </xf>
    <xf numFmtId="0" fontId="45" fillId="0" borderId="0" xfId="22" applyFont="1" applyAlignment="1">
      <alignment wrapText="1"/>
      <protection/>
    </xf>
    <xf numFmtId="0" fontId="45" fillId="0" borderId="0" xfId="22" applyFont="1">
      <alignment/>
      <protection/>
    </xf>
    <xf numFmtId="0" fontId="20" fillId="0" borderId="0" xfId="22" applyFont="1" applyAlignment="1">
      <alignment wrapText="1"/>
      <protection/>
    </xf>
    <xf numFmtId="0" fontId="20" fillId="5" borderId="0" xfId="22" applyFont="1" applyFill="1" applyAlignment="1">
      <alignment horizontal="center" vertical="center"/>
      <protection/>
    </xf>
    <xf numFmtId="0" fontId="22" fillId="5" borderId="89" xfId="22" applyFont="1" applyFill="1" applyBorder="1" applyAlignment="1">
      <alignment horizontal="center" vertical="center" wrapText="1"/>
      <protection/>
    </xf>
    <xf numFmtId="0" fontId="22" fillId="5" borderId="90" xfId="22" applyFont="1" applyFill="1" applyBorder="1" applyAlignment="1">
      <alignment horizontal="center" vertical="center" wrapText="1"/>
      <protection/>
    </xf>
    <xf numFmtId="1" fontId="26" fillId="8" borderId="91" xfId="22" applyNumberFormat="1" applyFont="1" applyFill="1" applyBorder="1" applyAlignment="1">
      <alignment horizontal="center" vertical="center" wrapText="1"/>
      <protection/>
    </xf>
    <xf numFmtId="1" fontId="24" fillId="8" borderId="91" xfId="22" applyNumberFormat="1" applyFont="1" applyFill="1" applyBorder="1" applyAlignment="1">
      <alignment horizontal="center" vertical="center" wrapText="1"/>
      <protection/>
    </xf>
    <xf numFmtId="1" fontId="46" fillId="0" borderId="0" xfId="22" applyNumberFormat="1" applyFont="1" applyAlignment="1">
      <alignment horizontal="center" vertical="center"/>
      <protection/>
    </xf>
    <xf numFmtId="1" fontId="38" fillId="8" borderId="92" xfId="22" applyNumberFormat="1" applyFont="1" applyFill="1" applyBorder="1" applyAlignment="1">
      <alignment horizontal="center" vertical="center" wrapText="1"/>
      <protection/>
    </xf>
    <xf numFmtId="2" fontId="3" fillId="0" borderId="0" xfId="22" applyNumberFormat="1" applyFont="1">
      <alignment/>
      <protection/>
    </xf>
    <xf numFmtId="2" fontId="20" fillId="0" borderId="0" xfId="22" applyNumberFormat="1" applyFont="1">
      <alignment/>
      <protection/>
    </xf>
    <xf numFmtId="2" fontId="46" fillId="0" borderId="0" xfId="22" applyNumberFormat="1" applyFont="1" applyAlignment="1">
      <alignment horizontal="center" vertical="center"/>
      <protection/>
    </xf>
    <xf numFmtId="168" fontId="3" fillId="0" borderId="0" xfId="22" applyNumberFormat="1" applyFont="1">
      <alignment/>
      <protection/>
    </xf>
    <xf numFmtId="1" fontId="20" fillId="0" borderId="0" xfId="22" applyNumberFormat="1" applyFont="1">
      <alignment/>
      <protection/>
    </xf>
    <xf numFmtId="166" fontId="3" fillId="0" borderId="0" xfId="22" applyNumberFormat="1" applyFont="1">
      <alignment/>
      <protection/>
    </xf>
    <xf numFmtId="1" fontId="3" fillId="10" borderId="0" xfId="22" applyNumberFormat="1" applyFont="1" applyFill="1">
      <alignment/>
      <protection/>
    </xf>
    <xf numFmtId="1" fontId="44" fillId="10" borderId="0" xfId="22" applyNumberFormat="1" applyFont="1" applyFill="1">
      <alignment/>
      <protection/>
    </xf>
    <xf numFmtId="9" fontId="3" fillId="10" borderId="0" xfId="22" applyNumberFormat="1" applyFont="1" applyFill="1">
      <alignment/>
      <protection/>
    </xf>
    <xf numFmtId="10" fontId="3" fillId="0" borderId="0" xfId="22" applyNumberFormat="1" applyFont="1">
      <alignment/>
      <protection/>
    </xf>
    <xf numFmtId="0" fontId="47" fillId="0" borderId="0" xfId="22" applyFont="1" applyAlignment="1">
      <alignment wrapText="1"/>
      <protection/>
    </xf>
    <xf numFmtId="0" fontId="22" fillId="7" borderId="77" xfId="22" applyFont="1" applyFill="1" applyBorder="1" applyAlignment="1">
      <alignment horizontal="center" vertical="center" wrapText="1"/>
      <protection/>
    </xf>
    <xf numFmtId="0" fontId="3" fillId="0" borderId="93" xfId="22" applyFont="1" applyBorder="1">
      <alignment/>
      <protection/>
    </xf>
    <xf numFmtId="0" fontId="3" fillId="0" borderId="54" xfId="22" applyFont="1" applyBorder="1">
      <alignment/>
      <protection/>
    </xf>
    <xf numFmtId="0" fontId="48" fillId="11" borderId="77" xfId="22" applyFont="1" applyFill="1" applyBorder="1" applyAlignment="1">
      <alignment horizontal="center" vertical="center" wrapText="1"/>
      <protection/>
    </xf>
    <xf numFmtId="0" fontId="48" fillId="11" borderId="0" xfId="22" applyFont="1" applyFill="1" applyAlignment="1">
      <alignment horizontal="center" vertical="center" wrapText="1"/>
      <protection/>
    </xf>
    <xf numFmtId="0" fontId="22" fillId="12" borderId="77" xfId="22" applyFont="1" applyFill="1" applyBorder="1" applyAlignment="1">
      <alignment horizontal="center" vertical="center" wrapText="1"/>
      <protection/>
    </xf>
    <xf numFmtId="0" fontId="22" fillId="12" borderId="0" xfId="22" applyFont="1" applyFill="1" applyAlignment="1">
      <alignment horizontal="center" vertical="center" wrapText="1"/>
      <protection/>
    </xf>
    <xf numFmtId="0" fontId="49" fillId="0" borderId="54" xfId="22" applyFont="1" applyBorder="1">
      <alignment/>
      <protection/>
    </xf>
    <xf numFmtId="0" fontId="22" fillId="12" borderId="94" xfId="22" applyFont="1" applyFill="1" applyBorder="1" applyAlignment="1">
      <alignment horizontal="center" vertical="center" wrapText="1"/>
      <protection/>
    </xf>
    <xf numFmtId="0" fontId="3" fillId="0" borderId="54" xfId="22" applyFont="1" applyBorder="1" applyAlignment="1">
      <alignment wrapText="1"/>
      <protection/>
    </xf>
    <xf numFmtId="0" fontId="21" fillId="0" borderId="0" xfId="22" applyFont="1" applyAlignment="1">
      <alignment vertical="center"/>
      <protection/>
    </xf>
    <xf numFmtId="0" fontId="50" fillId="0" borderId="0" xfId="22" applyFont="1" applyAlignment="1">
      <alignment vertical="center"/>
      <protection/>
    </xf>
    <xf numFmtId="0" fontId="34" fillId="5" borderId="72" xfId="22" applyFont="1" applyFill="1" applyBorder="1" applyAlignment="1">
      <alignment horizontal="center" vertical="center" wrapText="1"/>
      <protection/>
    </xf>
    <xf numFmtId="0" fontId="22" fillId="7" borderId="2" xfId="22" applyFont="1" applyFill="1" applyBorder="1" applyAlignment="1">
      <alignment horizontal="center" vertical="center" wrapText="1"/>
      <protection/>
    </xf>
    <xf numFmtId="0" fontId="22" fillId="7" borderId="40" xfId="22" applyFont="1" applyFill="1" applyBorder="1" applyAlignment="1">
      <alignment horizontal="center" vertical="center" wrapText="1"/>
      <protection/>
    </xf>
    <xf numFmtId="0" fontId="22" fillId="7" borderId="76" xfId="22" applyFont="1" applyFill="1" applyBorder="1" applyAlignment="1">
      <alignment horizontal="center" vertical="center" wrapText="1"/>
      <protection/>
    </xf>
    <xf numFmtId="1" fontId="36" fillId="8" borderId="3" xfId="22" applyNumberFormat="1" applyFont="1" applyFill="1" applyBorder="1" applyAlignment="1">
      <alignment horizontal="center" vertical="center" wrapText="1"/>
      <protection/>
    </xf>
    <xf numFmtId="1" fontId="36" fillId="8" borderId="45" xfId="22" applyNumberFormat="1" applyFont="1" applyFill="1" applyBorder="1" applyAlignment="1">
      <alignment horizontal="center" vertical="center" wrapText="1"/>
      <protection/>
    </xf>
    <xf numFmtId="1" fontId="22" fillId="7" borderId="72" xfId="22" applyNumberFormat="1" applyFont="1" applyFill="1" applyBorder="1" applyAlignment="1">
      <alignment horizontal="center" vertical="center" wrapText="1"/>
      <protection/>
    </xf>
    <xf numFmtId="1" fontId="51" fillId="7" borderId="72" xfId="22" applyNumberFormat="1" applyFont="1" applyFill="1" applyBorder="1" applyAlignment="1">
      <alignment horizontal="center" vertical="center" wrapText="1"/>
      <protection/>
    </xf>
    <xf numFmtId="1" fontId="22" fillId="7" borderId="48" xfId="22" applyNumberFormat="1" applyFont="1" applyFill="1" applyBorder="1" applyAlignment="1">
      <alignment horizontal="center" vertical="center" wrapText="1"/>
      <protection/>
    </xf>
    <xf numFmtId="1" fontId="22" fillId="7" borderId="50" xfId="22" applyNumberFormat="1" applyFont="1" applyFill="1" applyBorder="1" applyAlignment="1">
      <alignment horizontal="center" vertical="center" wrapText="1"/>
      <protection/>
    </xf>
    <xf numFmtId="1" fontId="22" fillId="7" borderId="65" xfId="22" applyNumberFormat="1" applyFont="1" applyFill="1" applyBorder="1" applyAlignment="1">
      <alignment horizontal="center" vertical="center" wrapText="1"/>
      <protection/>
    </xf>
    <xf numFmtId="0" fontId="3" fillId="0" borderId="0" xfId="22" applyFont="1" applyAlignment="1">
      <alignment horizontal="center"/>
      <protection/>
    </xf>
    <xf numFmtId="1" fontId="3" fillId="0" borderId="0" xfId="22" applyNumberFormat="1" applyFont="1" applyAlignment="1">
      <alignment horizontal="center"/>
      <protection/>
    </xf>
    <xf numFmtId="1" fontId="43" fillId="0" borderId="0" xfId="22" applyNumberFormat="1" applyFont="1" applyAlignment="1">
      <alignment horizontal="center"/>
      <protection/>
    </xf>
    <xf numFmtId="0" fontId="20" fillId="0" borderId="0" xfId="22" applyFont="1" applyAlignment="1">
      <alignment horizontal="center"/>
      <protection/>
    </xf>
    <xf numFmtId="1" fontId="20" fillId="0" borderId="0" xfId="22" applyNumberFormat="1" applyFont="1" applyAlignment="1">
      <alignment horizontal="center"/>
      <protection/>
    </xf>
    <xf numFmtId="1" fontId="52" fillId="0" borderId="0" xfId="22" applyNumberFormat="1" applyFont="1" applyAlignment="1">
      <alignment horizontal="center"/>
      <protection/>
    </xf>
    <xf numFmtId="169" fontId="20" fillId="0" borderId="0" xfId="22" applyNumberFormat="1" applyFont="1">
      <alignment/>
      <protection/>
    </xf>
    <xf numFmtId="0" fontId="22" fillId="5" borderId="57" xfId="22" applyFont="1" applyFill="1" applyBorder="1" applyAlignment="1">
      <alignment horizontal="center" vertical="center" wrapText="1"/>
      <protection/>
    </xf>
    <xf numFmtId="1" fontId="22" fillId="7" borderId="76" xfId="22" applyNumberFormat="1" applyFont="1" applyFill="1" applyBorder="1" applyAlignment="1">
      <alignment horizontal="center" vertical="center" wrapText="1"/>
      <protection/>
    </xf>
    <xf numFmtId="1" fontId="22" fillId="7" borderId="45" xfId="22" applyNumberFormat="1" applyFont="1" applyFill="1" applyBorder="1" applyAlignment="1">
      <alignment horizontal="center" vertical="center" wrapText="1"/>
      <protection/>
    </xf>
    <xf numFmtId="1" fontId="51" fillId="7" borderId="45" xfId="22" applyNumberFormat="1" applyFont="1" applyFill="1" applyBorder="1" applyAlignment="1">
      <alignment horizontal="center" vertical="center" wrapText="1"/>
      <protection/>
    </xf>
    <xf numFmtId="2" fontId="20" fillId="0" borderId="0" xfId="22" applyNumberFormat="1" applyFont="1" applyAlignment="1">
      <alignment horizontal="center"/>
      <protection/>
    </xf>
    <xf numFmtId="0" fontId="52" fillId="0" borderId="0" xfId="22" applyFont="1" applyAlignment="1">
      <alignment horizontal="center"/>
      <protection/>
    </xf>
    <xf numFmtId="0" fontId="43" fillId="0" borderId="0" xfId="22" applyFont="1" applyAlignment="1">
      <alignment horizontal="center"/>
      <protection/>
    </xf>
    <xf numFmtId="0" fontId="20" fillId="0" borderId="0" xfId="23" applyFont="1" applyAlignment="1">
      <alignment horizontal="center" wrapText="1"/>
      <protection/>
    </xf>
    <xf numFmtId="0" fontId="51" fillId="5" borderId="72" xfId="22" applyFont="1" applyFill="1" applyBorder="1" applyAlignment="1">
      <alignment horizontal="center" vertical="center" wrapText="1"/>
      <protection/>
    </xf>
    <xf numFmtId="1" fontId="36" fillId="0" borderId="0" xfId="22" applyNumberFormat="1" applyFont="1" applyAlignment="1">
      <alignment horizontal="center" vertical="center" wrapText="1"/>
      <protection/>
    </xf>
    <xf numFmtId="0" fontId="52" fillId="0" borderId="0" xfId="22" applyFont="1">
      <alignment/>
      <protection/>
    </xf>
    <xf numFmtId="166" fontId="20" fillId="0" borderId="0" xfId="22" applyNumberFormat="1" applyFont="1">
      <alignment/>
      <protection/>
    </xf>
    <xf numFmtId="0" fontId="53" fillId="5" borderId="48" xfId="22" applyFont="1" applyFill="1" applyBorder="1" applyAlignment="1">
      <alignment horizontal="center" vertical="center" wrapText="1"/>
      <protection/>
    </xf>
    <xf numFmtId="0" fontId="53" fillId="5" borderId="72" xfId="22" applyFont="1" applyFill="1" applyBorder="1" applyAlignment="1">
      <alignment horizontal="center" vertical="center" wrapText="1"/>
      <protection/>
    </xf>
    <xf numFmtId="0" fontId="53" fillId="5" borderId="50" xfId="22" applyFont="1" applyFill="1" applyBorder="1" applyAlignment="1">
      <alignment horizontal="center" vertical="center" wrapText="1"/>
      <protection/>
    </xf>
    <xf numFmtId="1" fontId="22" fillId="7" borderId="56" xfId="22" applyNumberFormat="1" applyFont="1" applyFill="1" applyBorder="1" applyAlignment="1">
      <alignment horizontal="center" vertical="center" wrapText="1"/>
      <protection/>
    </xf>
    <xf numFmtId="0" fontId="51" fillId="5" borderId="3" xfId="22" applyFont="1" applyFill="1" applyBorder="1" applyAlignment="1">
      <alignment horizontal="center" vertical="center" wrapText="1"/>
      <protection/>
    </xf>
    <xf numFmtId="1" fontId="24" fillId="9" borderId="73" xfId="22" applyNumberFormat="1" applyFont="1" applyFill="1" applyBorder="1" applyAlignment="1">
      <alignment horizontal="center" vertical="center" wrapText="1"/>
      <protection/>
    </xf>
    <xf numFmtId="1" fontId="22" fillId="7" borderId="73" xfId="22" applyNumberFormat="1" applyFont="1" applyFill="1" applyBorder="1" applyAlignment="1">
      <alignment horizontal="center" vertical="center" wrapText="1"/>
      <protection/>
    </xf>
    <xf numFmtId="166" fontId="24" fillId="8" borderId="40" xfId="22" applyNumberFormat="1" applyFont="1" applyFill="1" applyBorder="1" applyAlignment="1">
      <alignment horizontal="center" vertical="center" wrapText="1"/>
      <protection/>
    </xf>
    <xf numFmtId="166" fontId="24" fillId="8" borderId="0" xfId="22" applyNumberFormat="1" applyFont="1" applyFill="1" applyAlignment="1">
      <alignment horizontal="center" vertical="center" wrapText="1"/>
      <protection/>
    </xf>
    <xf numFmtId="166" fontId="24" fillId="8" borderId="74" xfId="22" applyNumberFormat="1" applyFont="1" applyFill="1" applyBorder="1" applyAlignment="1">
      <alignment horizontal="center" vertical="center" wrapText="1"/>
      <protection/>
    </xf>
    <xf numFmtId="1" fontId="22" fillId="7" borderId="57" xfId="22" applyNumberFormat="1" applyFont="1" applyFill="1" applyBorder="1" applyAlignment="1">
      <alignment horizontal="center" vertical="center" wrapText="1"/>
      <protection/>
    </xf>
    <xf numFmtId="166" fontId="24" fillId="8" borderId="76" xfId="22" applyNumberFormat="1" applyFont="1" applyFill="1" applyBorder="1" applyAlignment="1">
      <alignment horizontal="center" vertical="center" wrapText="1"/>
      <protection/>
    </xf>
    <xf numFmtId="166" fontId="24" fillId="8" borderId="45" xfId="22" applyNumberFormat="1" applyFont="1" applyFill="1" applyBorder="1" applyAlignment="1">
      <alignment horizontal="center" vertical="center" wrapText="1"/>
      <protection/>
    </xf>
    <xf numFmtId="166" fontId="24" fillId="8" borderId="65" xfId="22" applyNumberFormat="1" applyFont="1" applyFill="1" applyBorder="1" applyAlignment="1">
      <alignment horizontal="center" vertical="center" wrapText="1"/>
      <protection/>
    </xf>
    <xf numFmtId="1" fontId="22" fillId="7" borderId="2" xfId="22" applyNumberFormat="1" applyFont="1" applyFill="1" applyBorder="1" applyAlignment="1">
      <alignment horizontal="center" vertical="center" wrapText="1"/>
      <protection/>
    </xf>
    <xf numFmtId="1" fontId="22" fillId="7" borderId="3" xfId="22" applyNumberFormat="1" applyFont="1" applyFill="1" applyBorder="1" applyAlignment="1">
      <alignment horizontal="center" vertical="center" wrapText="1"/>
      <protection/>
    </xf>
    <xf numFmtId="1" fontId="22" fillId="7" borderId="75" xfId="22" applyNumberFormat="1" applyFont="1" applyFill="1" applyBorder="1" applyAlignment="1">
      <alignment horizontal="center" vertical="center" wrapText="1"/>
      <protection/>
    </xf>
    <xf numFmtId="0" fontId="22" fillId="5" borderId="73" xfId="22" applyFont="1" applyFill="1" applyBorder="1" applyAlignment="1">
      <alignment horizontal="center" vertical="center" wrapText="1"/>
      <protection/>
    </xf>
    <xf numFmtId="1" fontId="22" fillId="7" borderId="40" xfId="22" applyNumberFormat="1" applyFont="1" applyFill="1" applyBorder="1" applyAlignment="1">
      <alignment horizontal="center" vertical="center" wrapText="1"/>
      <protection/>
    </xf>
    <xf numFmtId="1" fontId="22" fillId="7" borderId="0" xfId="22" applyNumberFormat="1" applyFont="1" applyFill="1" applyAlignment="1">
      <alignment horizontal="center" vertical="center" wrapText="1"/>
      <protection/>
    </xf>
    <xf numFmtId="1" fontId="22" fillId="7" borderId="74" xfId="22" applyNumberFormat="1" applyFont="1" applyFill="1" applyBorder="1" applyAlignment="1">
      <alignment horizontal="center" vertical="center" wrapText="1"/>
      <protection/>
    </xf>
    <xf numFmtId="166" fontId="22" fillId="7" borderId="45" xfId="22" applyNumberFormat="1" applyFont="1" applyFill="1" applyBorder="1" applyAlignment="1">
      <alignment horizontal="center" vertical="center" wrapText="1"/>
      <protection/>
    </xf>
    <xf numFmtId="166" fontId="22" fillId="7" borderId="65" xfId="22" applyNumberFormat="1" applyFont="1" applyFill="1" applyBorder="1" applyAlignment="1">
      <alignment horizontal="center" vertical="center" wrapText="1"/>
      <protection/>
    </xf>
    <xf numFmtId="1" fontId="22" fillId="7" borderId="54" xfId="22" applyNumberFormat="1" applyFont="1" applyFill="1" applyBorder="1" applyAlignment="1">
      <alignment horizontal="center" vertical="center" wrapText="1"/>
      <protection/>
    </xf>
    <xf numFmtId="0" fontId="54" fillId="0" borderId="0" xfId="22" applyFont="1" applyAlignment="1">
      <alignment wrapText="1"/>
      <protection/>
    </xf>
    <xf numFmtId="0" fontId="55" fillId="7" borderId="0" xfId="22" applyFont="1" applyFill="1" applyAlignment="1">
      <alignment horizontal="center" vertical="center" wrapText="1"/>
      <protection/>
    </xf>
    <xf numFmtId="9" fontId="48" fillId="0" borderId="0" xfId="22" applyNumberFormat="1" applyFont="1" applyAlignment="1">
      <alignment horizontal="center" vertical="center" wrapText="1"/>
      <protection/>
    </xf>
    <xf numFmtId="2" fontId="24" fillId="0" borderId="0" xfId="22" applyNumberFormat="1" applyFont="1" applyAlignment="1">
      <alignment horizontal="center" vertical="center" wrapText="1"/>
      <protection/>
    </xf>
    <xf numFmtId="167" fontId="24" fillId="0" borderId="0" xfId="22" applyNumberFormat="1" applyFont="1" applyAlignment="1">
      <alignment horizontal="center" vertical="center" wrapText="1"/>
      <protection/>
    </xf>
    <xf numFmtId="164" fontId="3" fillId="0" borderId="0" xfId="21" applyNumberFormat="1" applyFont="1">
      <alignment/>
    </xf>
    <xf numFmtId="164" fontId="0" fillId="0" borderId="0" xfId="21" applyNumberFormat="1">
      <alignment/>
    </xf>
    <xf numFmtId="166" fontId="56" fillId="7" borderId="0" xfId="22" applyNumberFormat="1" applyFont="1" applyFill="1" applyAlignment="1">
      <alignment horizontal="center" vertical="center" wrapText="1"/>
      <protection/>
    </xf>
    <xf numFmtId="166" fontId="56" fillId="7" borderId="74" xfId="22" applyNumberFormat="1" applyFont="1" applyFill="1" applyBorder="1" applyAlignment="1">
      <alignment horizontal="center" vertical="center" wrapText="1"/>
      <protection/>
    </xf>
    <xf numFmtId="9" fontId="56" fillId="7" borderId="40" xfId="22" applyNumberFormat="1" applyFont="1" applyFill="1" applyBorder="1" applyAlignment="1">
      <alignment horizontal="center" vertical="center" wrapText="1"/>
      <protection/>
    </xf>
    <xf numFmtId="9" fontId="56" fillId="7" borderId="74" xfId="22" applyNumberFormat="1" applyFont="1" applyFill="1" applyBorder="1" applyAlignment="1">
      <alignment horizontal="center" vertical="center" wrapText="1"/>
      <protection/>
    </xf>
    <xf numFmtId="9" fontId="56" fillId="7" borderId="76" xfId="22" applyNumberFormat="1" applyFont="1" applyFill="1" applyBorder="1" applyAlignment="1">
      <alignment horizontal="center" vertical="center" wrapText="1"/>
      <protection/>
    </xf>
    <xf numFmtId="9" fontId="56" fillId="7" borderId="65" xfId="22" applyNumberFormat="1" applyFont="1" applyFill="1" applyBorder="1" applyAlignment="1">
      <alignment horizontal="center" vertical="center" wrapText="1"/>
      <protection/>
    </xf>
    <xf numFmtId="9" fontId="29" fillId="7" borderId="0" xfId="22" applyNumberFormat="1" applyFont="1" applyFill="1" applyAlignment="1">
      <alignment horizontal="center" vertical="center" wrapText="1"/>
      <protection/>
    </xf>
    <xf numFmtId="9" fontId="56" fillId="7" borderId="2" xfId="22" applyNumberFormat="1" applyFont="1" applyFill="1" applyBorder="1" applyAlignment="1">
      <alignment horizontal="center" vertical="center" wrapText="1"/>
      <protection/>
    </xf>
    <xf numFmtId="9" fontId="56" fillId="7" borderId="75" xfId="22" applyNumberFormat="1" applyFont="1" applyFill="1" applyBorder="1" applyAlignment="1">
      <alignment horizontal="center" vertical="center" wrapText="1"/>
      <protection/>
    </xf>
    <xf numFmtId="9" fontId="27" fillId="7" borderId="0" xfId="22" applyNumberFormat="1" applyFont="1" applyFill="1" applyAlignment="1">
      <alignment horizontal="center" vertical="center" wrapText="1"/>
      <protection/>
    </xf>
    <xf numFmtId="9" fontId="34" fillId="7" borderId="76" xfId="22" applyNumberFormat="1" applyFont="1" applyFill="1" applyBorder="1" applyAlignment="1">
      <alignment horizontal="center" vertical="center" wrapText="1"/>
      <protection/>
    </xf>
    <xf numFmtId="164" fontId="44" fillId="0" borderId="0" xfId="21" applyNumberFormat="1" applyFont="1">
      <alignment/>
    </xf>
    <xf numFmtId="167" fontId="3" fillId="0" borderId="54" xfId="22" applyNumberFormat="1" applyFont="1" applyBorder="1" applyAlignment="1">
      <alignment horizontal="center"/>
      <protection/>
    </xf>
    <xf numFmtId="1" fontId="3" fillId="0" borderId="54" xfId="22" applyNumberFormat="1" applyFont="1" applyBorder="1" applyAlignment="1">
      <alignment horizontal="center"/>
      <protection/>
    </xf>
    <xf numFmtId="0" fontId="3" fillId="0" borderId="54" xfId="22" applyFont="1" applyBorder="1" applyAlignment="1">
      <alignment horizontal="center"/>
      <protection/>
    </xf>
    <xf numFmtId="165" fontId="3" fillId="0" borderId="54" xfId="21" applyNumberFormat="1" applyFont="1" applyBorder="1">
      <alignment/>
    </xf>
    <xf numFmtId="164" fontId="57" fillId="0" borderId="0" xfId="21" applyNumberFormat="1" applyFont="1">
      <alignment/>
    </xf>
    <xf numFmtId="165" fontId="3" fillId="0" borderId="0" xfId="21" applyNumberFormat="1" applyFont="1">
      <alignment/>
    </xf>
    <xf numFmtId="0" fontId="58" fillId="0" borderId="0" xfId="22" applyFont="1" applyAlignment="1">
      <alignment wrapText="1"/>
      <protection/>
    </xf>
    <xf numFmtId="0" fontId="58" fillId="0" borderId="0" xfId="22" applyFont="1" applyAlignment="1">
      <alignment horizontal="center" wrapText="1"/>
      <protection/>
    </xf>
    <xf numFmtId="1" fontId="58" fillId="0" borderId="0" xfId="22" applyNumberFormat="1" applyFont="1">
      <alignment/>
      <protection/>
    </xf>
    <xf numFmtId="0" fontId="22" fillId="7" borderId="48" xfId="22" applyFont="1" applyFill="1" applyBorder="1" applyAlignment="1">
      <alignment horizontal="center" vertical="center" wrapText="1"/>
      <protection/>
    </xf>
    <xf numFmtId="9" fontId="22" fillId="7" borderId="45" xfId="22" applyNumberFormat="1" applyFont="1" applyFill="1" applyBorder="1" applyAlignment="1">
      <alignment horizontal="center" vertical="center" wrapText="1"/>
      <protection/>
    </xf>
    <xf numFmtId="166" fontId="59" fillId="7" borderId="74" xfId="22" applyNumberFormat="1" applyFont="1" applyFill="1" applyBorder="1" applyAlignment="1">
      <alignment horizontal="center" vertical="center" wrapText="1"/>
      <protection/>
    </xf>
    <xf numFmtId="9" fontId="60" fillId="7" borderId="40" xfId="22" applyNumberFormat="1" applyFont="1" applyFill="1" applyBorder="1" applyAlignment="1">
      <alignment horizontal="center" vertical="center" wrapText="1"/>
      <protection/>
    </xf>
    <xf numFmtId="9" fontId="60" fillId="7" borderId="74" xfId="22" applyNumberFormat="1" applyFont="1" applyFill="1" applyBorder="1" applyAlignment="1">
      <alignment horizontal="center" vertical="center" wrapText="1"/>
      <protection/>
    </xf>
    <xf numFmtId="9" fontId="59" fillId="7" borderId="75" xfId="22" applyNumberFormat="1" applyFont="1" applyFill="1" applyBorder="1" applyAlignment="1">
      <alignment horizontal="center" vertical="center" wrapText="1"/>
      <protection/>
    </xf>
    <xf numFmtId="9" fontId="59" fillId="7" borderId="74" xfId="22" applyNumberFormat="1" applyFont="1" applyFill="1" applyBorder="1" applyAlignment="1">
      <alignment horizontal="center" vertical="center" wrapText="1"/>
      <protection/>
    </xf>
    <xf numFmtId="9" fontId="59" fillId="7" borderId="65" xfId="22" applyNumberFormat="1" applyFont="1" applyFill="1" applyBorder="1" applyAlignment="1">
      <alignment horizontal="center" vertical="center" wrapText="1"/>
      <protection/>
    </xf>
    <xf numFmtId="0" fontId="5" fillId="3" borderId="95"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97" xfId="0" applyFont="1" applyFill="1" applyBorder="1" applyAlignment="1">
      <alignment horizontal="center" vertical="center"/>
    </xf>
    <xf numFmtId="0" fontId="0" fillId="0" borderId="98" xfId="0" applyBorder="1"/>
    <xf numFmtId="0" fontId="0" fillId="0" borderId="99" xfId="0" applyBorder="1"/>
    <xf numFmtId="0" fontId="0" fillId="0" borderId="100" xfId="0" applyBorder="1"/>
    <xf numFmtId="0" fontId="0" fillId="0" borderId="101" xfId="0" applyBorder="1"/>
    <xf numFmtId="0" fontId="8" fillId="0" borderId="95" xfId="0" applyFont="1" applyBorder="1"/>
    <xf numFmtId="1" fontId="0" fillId="0" borderId="102" xfId="0" applyNumberFormat="1" applyBorder="1"/>
    <xf numFmtId="1" fontId="0" fillId="0" borderId="103" xfId="0" applyNumberFormat="1" applyBorder="1"/>
    <xf numFmtId="0" fontId="0" fillId="0" borderId="103" xfId="0" applyBorder="1"/>
    <xf numFmtId="0" fontId="0" fillId="0" borderId="104" xfId="0" applyBorder="1"/>
    <xf numFmtId="0" fontId="8" fillId="0" borderId="105" xfId="0" applyFont="1" applyBorder="1"/>
    <xf numFmtId="1" fontId="0" fillId="0" borderId="106" xfId="0" applyNumberFormat="1" applyBorder="1"/>
    <xf numFmtId="1" fontId="0" fillId="0" borderId="107" xfId="0" applyNumberFormat="1" applyBorder="1"/>
    <xf numFmtId="0" fontId="8" fillId="0" borderId="108" xfId="0" applyFont="1" applyBorder="1"/>
    <xf numFmtId="1" fontId="0" fillId="0" borderId="109" xfId="0" applyNumberFormat="1" applyBorder="1"/>
    <xf numFmtId="1" fontId="0" fillId="0" borderId="110" xfId="0" applyNumberFormat="1" applyBorder="1"/>
    <xf numFmtId="167" fontId="0" fillId="0" borderId="0" xfId="0" applyNumberFormat="1"/>
    <xf numFmtId="0" fontId="8" fillId="0" borderId="111" xfId="0" applyFont="1" applyBorder="1"/>
    <xf numFmtId="1" fontId="0" fillId="0" borderId="112" xfId="0" applyNumberFormat="1" applyBorder="1"/>
    <xf numFmtId="1" fontId="0" fillId="0" borderId="113" xfId="0" applyNumberFormat="1" applyBorder="1"/>
    <xf numFmtId="1" fontId="0" fillId="0" borderId="0" xfId="0" applyNumberFormat="1"/>
    <xf numFmtId="0" fontId="8" fillId="0" borderId="114" xfId="0" applyFont="1" applyBorder="1"/>
    <xf numFmtId="1" fontId="0" fillId="0" borderId="115" xfId="0" applyNumberFormat="1" applyBorder="1"/>
    <xf numFmtId="1" fontId="0" fillId="0" borderId="116" xfId="0" applyNumberFormat="1" applyBorder="1"/>
    <xf numFmtId="0" fontId="5" fillId="3" borderId="117" xfId="0" applyFont="1" applyFill="1" applyBorder="1" applyAlignment="1">
      <alignment horizontal="center" vertical="center"/>
    </xf>
    <xf numFmtId="0" fontId="5" fillId="3" borderId="118" xfId="0" applyFont="1" applyFill="1" applyBorder="1" applyAlignment="1">
      <alignment horizontal="center" vertical="center"/>
    </xf>
    <xf numFmtId="0" fontId="8" fillId="0" borderId="30" xfId="0" applyFont="1" applyBorder="1"/>
    <xf numFmtId="0" fontId="0" fillId="0" borderId="52" xfId="0" applyBorder="1"/>
    <xf numFmtId="0" fontId="0" fillId="0" borderId="119" xfId="0" applyBorder="1"/>
    <xf numFmtId="0" fontId="0" fillId="0" borderId="120" xfId="0" applyBorder="1"/>
    <xf numFmtId="0" fontId="7" fillId="4" borderId="121" xfId="0" applyFont="1" applyFill="1" applyBorder="1" applyAlignment="1">
      <alignment horizontal="center"/>
    </xf>
    <xf numFmtId="0" fontId="7" fillId="4" borderId="122" xfId="0" applyFont="1" applyFill="1" applyBorder="1" applyAlignment="1">
      <alignment horizontal="center"/>
    </xf>
    <xf numFmtId="1" fontId="0" fillId="0" borderId="123" xfId="0" applyNumberFormat="1" applyBorder="1"/>
    <xf numFmtId="1" fontId="0" fillId="0" borderId="124" xfId="0" applyNumberFormat="1" applyBorder="1"/>
    <xf numFmtId="1" fontId="0" fillId="0" borderId="125" xfId="0" applyNumberFormat="1" applyBorder="1"/>
    <xf numFmtId="0" fontId="8" fillId="0" borderId="126" xfId="0" applyFont="1" applyBorder="1"/>
    <xf numFmtId="164" fontId="8" fillId="0" borderId="127" xfId="21" applyNumberFormat="1" applyFont="1" applyBorder="1">
      <alignment/>
    </xf>
    <xf numFmtId="164" fontId="8" fillId="0" borderId="128" xfId="21" applyNumberFormat="1" applyFont="1" applyBorder="1">
      <alignment/>
    </xf>
    <xf numFmtId="0" fontId="0" fillId="0" borderId="129" xfId="0" applyBorder="1"/>
    <xf numFmtId="0" fontId="0" fillId="0" borderId="130" xfId="0" applyBorder="1"/>
    <xf numFmtId="0" fontId="0" fillId="0" borderId="131" xfId="0" applyBorder="1"/>
    <xf numFmtId="0" fontId="8" fillId="0" borderId="132" xfId="0" applyFont="1" applyBorder="1"/>
    <xf numFmtId="164" fontId="8" fillId="0" borderId="124" xfId="21" applyNumberFormat="1" applyFont="1" applyBorder="1">
      <alignment/>
    </xf>
    <xf numFmtId="164" fontId="8" fillId="0" borderId="133" xfId="21" applyNumberFormat="1" applyFont="1" applyBorder="1">
      <alignment/>
    </xf>
    <xf numFmtId="0" fontId="0" fillId="0" borderId="123" xfId="0" applyBorder="1"/>
    <xf numFmtId="0" fontId="0" fillId="0" borderId="124" xfId="0" applyBorder="1"/>
    <xf numFmtId="0" fontId="0" fillId="0" borderId="125" xfId="0" applyBorder="1"/>
    <xf numFmtId="1" fontId="0" fillId="0" borderId="129" xfId="0" applyNumberFormat="1" applyBorder="1"/>
    <xf numFmtId="1" fontId="0" fillId="0" borderId="130" xfId="0" applyNumberFormat="1" applyBorder="1"/>
    <xf numFmtId="1" fontId="0" fillId="0" borderId="131" xfId="0" applyNumberFormat="1" applyBorder="1"/>
    <xf numFmtId="1" fontId="0" fillId="0" borderId="47" xfId="0" applyNumberFormat="1" applyBorder="1"/>
    <xf numFmtId="1" fontId="0" fillId="0" borderId="134" xfId="0" applyNumberFormat="1" applyBorder="1"/>
    <xf numFmtId="1" fontId="0" fillId="0" borderId="135" xfId="0" applyNumberFormat="1" applyBorder="1"/>
    <xf numFmtId="0" fontId="61" fillId="3" borderId="54" xfId="0" applyFont="1" applyFill="1" applyBorder="1" applyAlignment="1">
      <alignment horizontal="center" vertical="center"/>
    </xf>
    <xf numFmtId="0" fontId="62" fillId="3" borderId="54" xfId="0" applyFont="1" applyFill="1" applyBorder="1" applyAlignment="1">
      <alignment horizontal="center" vertical="center"/>
    </xf>
    <xf numFmtId="0" fontId="41" fillId="0" borderId="54" xfId="0" applyFont="1" applyBorder="1"/>
    <xf numFmtId="0" fontId="3" fillId="0" borderId="54" xfId="0" applyFont="1" applyBorder="1" applyAlignment="1">
      <alignment horizontal="center" vertical="center"/>
    </xf>
    <xf numFmtId="1" fontId="24" fillId="0" borderId="54" xfId="0" applyNumberFormat="1" applyFont="1" applyBorder="1" applyAlignment="1">
      <alignment horizontal="center" vertical="center" wrapText="1"/>
    </xf>
    <xf numFmtId="1" fontId="0" fillId="0" borderId="3" xfId="0" applyNumberFormat="1" applyBorder="1"/>
    <xf numFmtId="1" fontId="0" fillId="0" borderId="75" xfId="0" applyNumberFormat="1" applyBorder="1"/>
    <xf numFmtId="0" fontId="4" fillId="0" borderId="0" xfId="0" applyFont="1" applyAlignment="1">
      <alignment horizontal="right"/>
    </xf>
    <xf numFmtId="0" fontId="0" fillId="0" borderId="54" xfId="0" applyBorder="1" applyAlignment="1">
      <alignment horizontal="center" vertical="center"/>
    </xf>
    <xf numFmtId="1" fontId="0" fillId="0" borderId="74" xfId="0" applyNumberFormat="1" applyBorder="1"/>
    <xf numFmtId="1" fontId="0" fillId="0" borderId="45" xfId="0" applyNumberFormat="1" applyBorder="1"/>
    <xf numFmtId="1" fontId="0" fillId="0" borderId="65" xfId="0" applyNumberFormat="1" applyBorder="1"/>
    <xf numFmtId="1" fontId="24" fillId="0" borderId="57" xfId="0" applyNumberFormat="1" applyFont="1" applyBorder="1" applyAlignment="1">
      <alignment horizontal="center" vertical="center" wrapText="1"/>
    </xf>
    <xf numFmtId="1" fontId="0" fillId="0" borderId="2" xfId="0" applyNumberFormat="1" applyBorder="1"/>
    <xf numFmtId="1" fontId="0" fillId="0" borderId="40" xfId="0" applyNumberFormat="1" applyBorder="1"/>
    <xf numFmtId="1" fontId="0" fillId="0" borderId="76" xfId="0" applyNumberFormat="1" applyBorder="1"/>
    <xf numFmtId="9" fontId="0" fillId="0" borderId="2" xfId="25" applyNumberFormat="1" applyBorder="1">
      <alignment/>
    </xf>
    <xf numFmtId="9" fontId="0" fillId="0" borderId="3" xfId="25" applyNumberFormat="1" applyBorder="1">
      <alignment/>
    </xf>
    <xf numFmtId="9" fontId="0" fillId="0" borderId="75" xfId="25" applyNumberFormat="1" applyBorder="1">
      <alignment/>
    </xf>
    <xf numFmtId="9" fontId="0" fillId="0" borderId="40" xfId="25" applyNumberFormat="1" applyBorder="1">
      <alignment/>
    </xf>
    <xf numFmtId="9" fontId="0" fillId="0" borderId="0" xfId="25" applyNumberFormat="1">
      <alignment/>
    </xf>
    <xf numFmtId="9" fontId="0" fillId="0" borderId="74" xfId="25" applyNumberFormat="1" applyBorder="1">
      <alignment/>
    </xf>
    <xf numFmtId="9" fontId="0" fillId="0" borderId="76" xfId="25" applyNumberFormat="1" applyBorder="1">
      <alignment/>
    </xf>
    <xf numFmtId="9" fontId="0" fillId="0" borderId="45" xfId="25" applyNumberFormat="1" applyBorder="1">
      <alignment/>
    </xf>
    <xf numFmtId="9" fontId="0" fillId="0" borderId="65" xfId="25" applyNumberFormat="1" applyBorder="1">
      <alignment/>
    </xf>
    <xf numFmtId="0" fontId="22" fillId="5" borderId="136" xfId="22" applyFont="1" applyFill="1" applyBorder="1" applyAlignment="1">
      <alignment horizontal="center" vertical="center" wrapText="1"/>
      <protection/>
    </xf>
    <xf numFmtId="1" fontId="24" fillId="8" borderId="92" xfId="22" applyNumberFormat="1" applyFont="1" applyFill="1" applyBorder="1" applyAlignment="1">
      <alignment horizontal="center" vertical="center" wrapText="1"/>
      <protection/>
    </xf>
    <xf numFmtId="2" fontId="24" fillId="8" borderId="92" xfId="22" applyNumberFormat="1" applyFont="1" applyFill="1" applyBorder="1" applyAlignment="1">
      <alignment horizontal="center" vertical="center" wrapText="1"/>
      <protection/>
    </xf>
    <xf numFmtId="0" fontId="22" fillId="7" borderId="94" xfId="22" applyFont="1" applyFill="1" applyBorder="1" applyAlignment="1">
      <alignment horizontal="center" vertical="center" wrapText="1"/>
      <protection/>
    </xf>
    <xf numFmtId="0" fontId="22" fillId="7" borderId="91" xfId="22" applyFont="1" applyFill="1" applyBorder="1" applyAlignment="1">
      <alignment horizontal="center" vertical="center" wrapText="1"/>
      <protection/>
    </xf>
    <xf numFmtId="1" fontId="25" fillId="8" borderId="91" xfId="22" applyNumberFormat="1" applyFont="1" applyFill="1" applyBorder="1" applyAlignment="1">
      <alignment horizontal="center" vertical="center" wrapText="1"/>
      <protection/>
    </xf>
    <xf numFmtId="1" fontId="25" fillId="8" borderId="137" xfId="22" applyNumberFormat="1" applyFont="1" applyFill="1" applyBorder="1" applyAlignment="1">
      <alignment horizontal="center" vertical="center" wrapText="1"/>
      <protection/>
    </xf>
    <xf numFmtId="1" fontId="25" fillId="8" borderId="92" xfId="22" applyNumberFormat="1" applyFont="1" applyFill="1" applyBorder="1" applyAlignment="1">
      <alignment horizontal="center" vertical="center" wrapText="1"/>
      <protection/>
    </xf>
    <xf numFmtId="166" fontId="29" fillId="7" borderId="0" xfId="22" applyNumberFormat="1" applyFont="1" applyFill="1" applyAlignment="1">
      <alignment horizontal="center" vertical="center" wrapText="1"/>
      <protection/>
    </xf>
    <xf numFmtId="9" fontId="22" fillId="7" borderId="0" xfId="22" applyNumberFormat="1" applyFont="1" applyFill="1" applyAlignment="1">
      <alignment horizontal="center" vertical="center" wrapText="1"/>
      <protection/>
    </xf>
    <xf numFmtId="0" fontId="32" fillId="7" borderId="77" xfId="22" applyFont="1" applyFill="1" applyBorder="1" applyAlignment="1">
      <alignment horizontal="center" vertical="center" wrapText="1"/>
      <protection/>
    </xf>
    <xf numFmtId="9" fontId="32" fillId="7" borderId="0" xfId="22" applyNumberFormat="1" applyFont="1" applyFill="1" applyAlignment="1">
      <alignment horizontal="center" vertical="center" wrapText="1"/>
      <protection/>
    </xf>
    <xf numFmtId="0" fontId="32" fillId="5" borderId="136" xfId="22" applyFont="1" applyFill="1" applyBorder="1" applyAlignment="1">
      <alignment horizontal="center" vertical="center" wrapText="1"/>
      <protection/>
    </xf>
    <xf numFmtId="1" fontId="36" fillId="8" borderId="0" xfId="22" applyNumberFormat="1" applyFont="1" applyFill="1" applyAlignment="1">
      <alignment horizontal="center" vertical="center" wrapText="1"/>
      <protection/>
    </xf>
    <xf numFmtId="1" fontId="36" fillId="8" borderId="92" xfId="22" applyNumberFormat="1" applyFont="1" applyFill="1" applyBorder="1" applyAlignment="1">
      <alignment horizontal="center" vertical="center" wrapText="1"/>
      <protection/>
    </xf>
    <xf numFmtId="9" fontId="22" fillId="7" borderId="91" xfId="22" applyNumberFormat="1" applyFont="1" applyFill="1" applyBorder="1" applyAlignment="1">
      <alignment horizontal="center" vertical="center" wrapText="1"/>
      <protection/>
    </xf>
    <xf numFmtId="9" fontId="29" fillId="7" borderId="91" xfId="22" applyNumberFormat="1" applyFont="1" applyFill="1" applyBorder="1" applyAlignment="1">
      <alignment horizontal="center" vertical="center" wrapText="1"/>
      <protection/>
    </xf>
    <xf numFmtId="1" fontId="28" fillId="8" borderId="91" xfId="22" applyNumberFormat="1" applyFont="1" applyFill="1" applyBorder="1" applyAlignment="1">
      <alignment horizontal="center" vertical="center" wrapText="1"/>
      <protection/>
    </xf>
    <xf numFmtId="1" fontId="36" fillId="8" borderId="91" xfId="22" applyNumberFormat="1" applyFont="1" applyFill="1" applyBorder="1" applyAlignment="1">
      <alignment horizontal="center" vertical="center" wrapText="1"/>
      <protection/>
    </xf>
    <xf numFmtId="1" fontId="36" fillId="8" borderId="137" xfId="22" applyNumberFormat="1" applyFont="1" applyFill="1" applyBorder="1" applyAlignment="1">
      <alignment horizontal="center" vertical="center" wrapText="1"/>
      <protection/>
    </xf>
    <xf numFmtId="168" fontId="24" fillId="8" borderId="92" xfId="22" applyNumberFormat="1" applyFont="1" applyFill="1" applyBorder="1" applyAlignment="1">
      <alignment horizontal="center" vertical="center" wrapText="1"/>
      <protection/>
    </xf>
    <xf numFmtId="168" fontId="24" fillId="8" borderId="91" xfId="22" applyNumberFormat="1" applyFont="1" applyFill="1" applyBorder="1" applyAlignment="1">
      <alignment horizontal="center" vertical="center" wrapText="1"/>
      <protection/>
    </xf>
    <xf numFmtId="168" fontId="31" fillId="8" borderId="91" xfId="22" applyNumberFormat="1" applyFont="1" applyFill="1" applyBorder="1" applyAlignment="1">
      <alignment horizontal="center" vertical="center" wrapText="1"/>
      <protection/>
    </xf>
    <xf numFmtId="168" fontId="24" fillId="8" borderId="137" xfId="22" applyNumberFormat="1" applyFont="1" applyFill="1" applyBorder="1" applyAlignment="1">
      <alignment horizontal="center" vertical="center" wrapText="1"/>
      <protection/>
    </xf>
    <xf numFmtId="0" fontId="34" fillId="5" borderId="89" xfId="22" applyFont="1" applyFill="1" applyBorder="1" applyAlignment="1">
      <alignment horizontal="center" vertical="center" wrapText="1"/>
      <protection/>
    </xf>
    <xf numFmtId="0" fontId="22" fillId="5" borderId="94" xfId="22" applyFont="1" applyFill="1" applyBorder="1" applyAlignment="1">
      <alignment horizontal="center" vertical="center" wrapText="1"/>
      <protection/>
    </xf>
    <xf numFmtId="1" fontId="22" fillId="7" borderId="91" xfId="22" applyNumberFormat="1" applyFont="1" applyFill="1" applyBorder="1" applyAlignment="1">
      <alignment horizontal="center" vertical="center" wrapText="1"/>
      <protection/>
    </xf>
    <xf numFmtId="1" fontId="51" fillId="7" borderId="91" xfId="22" applyNumberFormat="1" applyFont="1" applyFill="1" applyBorder="1" applyAlignment="1">
      <alignment horizontal="center" vertical="center" wrapText="1"/>
      <protection/>
    </xf>
    <xf numFmtId="1" fontId="22" fillId="7" borderId="137" xfId="22" applyNumberFormat="1" applyFont="1" applyFill="1" applyBorder="1" applyAlignment="1">
      <alignment horizontal="center" vertical="center" wrapText="1"/>
      <protection/>
    </xf>
    <xf numFmtId="0" fontId="32" fillId="7" borderId="94" xfId="22" applyFont="1" applyFill="1" applyBorder="1" applyAlignment="1">
      <alignment horizontal="center" vertical="center" wrapText="1"/>
      <protection/>
    </xf>
    <xf numFmtId="9" fontId="20" fillId="0" borderId="0" xfId="22" applyNumberFormat="1" applyFont="1" applyAlignment="1">
      <alignment horizontal="center"/>
      <protection/>
    </xf>
    <xf numFmtId="10" fontId="3" fillId="0" borderId="0" xfId="22" applyNumberFormat="1" applyFont="1" applyAlignment="1">
      <alignment horizontal="center"/>
      <protection/>
    </xf>
    <xf numFmtId="0" fontId="51" fillId="5" borderId="89" xfId="22" applyFont="1" applyFill="1" applyBorder="1" applyAlignment="1">
      <alignment horizontal="center" vertical="center" wrapText="1"/>
      <protection/>
    </xf>
    <xf numFmtId="1" fontId="24" fillId="8" borderId="137" xfId="22" applyNumberFormat="1" applyFont="1" applyFill="1" applyBorder="1" applyAlignment="1">
      <alignment horizontal="center" vertical="center" wrapText="1"/>
      <protection/>
    </xf>
    <xf numFmtId="0" fontId="20" fillId="0" borderId="0" xfId="22" applyFont="1" applyAlignment="1">
      <alignment horizontal="center" vertical="center" wrapText="1"/>
      <protection/>
    </xf>
    <xf numFmtId="9" fontId="24" fillId="0" borderId="0" xfId="22" applyNumberFormat="1" applyFont="1" applyAlignment="1">
      <alignment horizontal="center" vertical="center" wrapText="1"/>
      <protection/>
    </xf>
    <xf numFmtId="0" fontId="53" fillId="5" borderId="136" xfId="22" applyFont="1" applyFill="1" applyBorder="1" applyAlignment="1">
      <alignment horizontal="center" vertical="center" wrapText="1"/>
      <protection/>
    </xf>
    <xf numFmtId="0" fontId="53" fillId="5" borderId="89" xfId="22" applyFont="1" applyFill="1" applyBorder="1" applyAlignment="1">
      <alignment horizontal="center" vertical="center" wrapText="1"/>
      <protection/>
    </xf>
    <xf numFmtId="0" fontId="53" fillId="5" borderId="90" xfId="22" applyFont="1" applyFill="1" applyBorder="1" applyAlignment="1">
      <alignment horizontal="center" vertical="center" wrapText="1"/>
      <protection/>
    </xf>
    <xf numFmtId="1" fontId="22" fillId="7" borderId="77" xfId="22" applyNumberFormat="1" applyFont="1" applyFill="1" applyBorder="1" applyAlignment="1">
      <alignment horizontal="center" vertical="center" wrapText="1"/>
      <protection/>
    </xf>
    <xf numFmtId="1" fontId="24" fillId="9" borderId="77" xfId="22" applyNumberFormat="1" applyFont="1" applyFill="1" applyBorder="1" applyAlignment="1">
      <alignment horizontal="center" vertical="center" wrapText="1"/>
      <protection/>
    </xf>
    <xf numFmtId="166" fontId="36" fillId="8" borderId="0" xfId="22" applyNumberFormat="1" applyFont="1" applyFill="1" applyAlignment="1">
      <alignment horizontal="center" vertical="center" wrapText="1"/>
      <protection/>
    </xf>
    <xf numFmtId="166" fontId="24" fillId="8" borderId="92" xfId="22" applyNumberFormat="1" applyFont="1" applyFill="1" applyBorder="1" applyAlignment="1">
      <alignment horizontal="center" vertical="center" wrapText="1"/>
      <protection/>
    </xf>
    <xf numFmtId="0" fontId="22" fillId="5" borderId="77" xfId="22" applyFont="1" applyFill="1" applyBorder="1" applyAlignment="1">
      <alignment horizontal="center" vertical="center" wrapText="1"/>
      <protection/>
    </xf>
    <xf numFmtId="1" fontId="51" fillId="7" borderId="0" xfId="22" applyNumberFormat="1" applyFont="1" applyFill="1" applyAlignment="1">
      <alignment horizontal="center" vertical="center" wrapText="1"/>
      <protection/>
    </xf>
    <xf numFmtId="1" fontId="22" fillId="7" borderId="92" xfId="22" applyNumberFormat="1" applyFont="1" applyFill="1" applyBorder="1" applyAlignment="1">
      <alignment horizontal="center" vertical="center" wrapText="1"/>
      <protection/>
    </xf>
    <xf numFmtId="166" fontId="51" fillId="7" borderId="0" xfId="22" applyNumberFormat="1" applyFont="1" applyFill="1" applyAlignment="1">
      <alignment horizontal="center" vertical="center" wrapText="1"/>
      <protection/>
    </xf>
    <xf numFmtId="166" fontId="22" fillId="7" borderId="92" xfId="22" applyNumberFormat="1" applyFont="1" applyFill="1" applyBorder="1" applyAlignment="1">
      <alignment horizontal="center" vertical="center" wrapText="1"/>
      <protection/>
    </xf>
    <xf numFmtId="166" fontId="22" fillId="7" borderId="91" xfId="22" applyNumberFormat="1" applyFont="1" applyFill="1" applyBorder="1" applyAlignment="1">
      <alignment horizontal="center" vertical="center" wrapText="1"/>
      <protection/>
    </xf>
    <xf numFmtId="166" fontId="51" fillId="7" borderId="91" xfId="22" applyNumberFormat="1" applyFont="1" applyFill="1" applyBorder="1" applyAlignment="1">
      <alignment horizontal="center" vertical="center" wrapText="1"/>
      <protection/>
    </xf>
    <xf numFmtId="166" fontId="22" fillId="7" borderId="137" xfId="22" applyNumberFormat="1" applyFont="1" applyFill="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Lien hypertexte" xfId="20"/>
    <cellStyle name="Milliers" xfId="21"/>
    <cellStyle name="Normal 2" xfId="22"/>
    <cellStyle name="Normal 3" xfId="23"/>
    <cellStyle name="Normal 3 2" xfId="24"/>
    <cellStyle name="Pourcentage" xfId="25"/>
  </cellStyles>
  <dxfs count="1">
    <dxf>
      <fill>
        <patternFill patternType="solid">
          <fgColor theme="5" tint="0.5999600291252136"/>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TOTAL</a:t>
            </a:r>
            <a:r>
              <a:rPr lang="en-US" cap="none" sz="1400" b="0" i="0" u="none" baseline="0">
                <a:solidFill>
                  <a:schemeClr val="tx1">
                    <a:lumMod val="65000"/>
                    <a:lumOff val="35000"/>
                  </a:schemeClr>
                </a:solidFill>
                <a:latin typeface="+mn-lt"/>
                <a:ea typeface="Calibri"/>
                <a:cs typeface="Calibri"/>
              </a:rPr>
              <a:t> GHG Emissions (in MtCO</a:t>
            </a:r>
            <a:r>
              <a:rPr lang="en-US" cap="none" sz="1400" b="0" i="0" u="none" baseline="-25000">
                <a:latin typeface="Calibri"/>
                <a:ea typeface="Calibri"/>
                <a:cs typeface="Calibri"/>
              </a:rPr>
              <a:t>2</a:t>
            </a:r>
            <a:r>
              <a:rPr lang="en-US" cap="none" sz="1400" b="0" i="0" u="none" baseline="0">
                <a:solidFill>
                  <a:schemeClr val="tx1">
                    <a:lumMod val="65000"/>
                    <a:lumOff val="35000"/>
                  </a:schemeClr>
                </a:solidFill>
                <a:latin typeface="+mn-lt"/>
                <a:ea typeface="Calibri"/>
                <a:cs typeface="Calibri"/>
              </a:rPr>
              <a:t>e)</a:t>
            </a:r>
          </a:p>
        </c:rich>
      </c:tx>
      <c:layout/>
      <c:overlay val="0"/>
      <c:spPr>
        <a:noFill/>
        <a:ln>
          <a:noFill/>
        </a:ln>
      </c:spPr>
    </c:title>
    <c:plotArea>
      <c:layout/>
      <c:scatterChart>
        <c:scatterStyle val="lineMarker"/>
        <c:varyColors val="0"/>
        <c:ser>
          <c:idx val="1"/>
          <c:order val="0"/>
          <c:tx>
            <c:strRef>
              <c:f>'Output - Graphiques'!$B$6</c:f>
              <c:strCache>
                <c:ptCount val="1"/>
                <c:pt idx="0">
                  <c:v>Conservative</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Graphiques'!$C$6:$T$6</c:f>
              <c:numCache/>
            </c:numRef>
          </c:yVal>
          <c:smooth val="0"/>
        </c:ser>
        <c:ser>
          <c:idx val="3"/>
          <c:order val="1"/>
          <c:tx>
            <c:strRef>
              <c:f>'Output - Graphiques'!$B$31</c:f>
            </c:strRef>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Graphiques'!$C$31:$T$31</c:f>
            </c:numRef>
          </c:yVal>
          <c:smooth val="0"/>
        </c:ser>
        <c:ser>
          <c:idx val="2"/>
          <c:order val="2"/>
          <c:tx>
            <c:strRef>
              <c:f>'Output - Graphiques'!$B$32</c:f>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Graphiques'!$C$32:$T$32</c:f>
            </c:numRef>
          </c:yVal>
          <c:smooth val="0"/>
        </c:ser>
        <c:axId val="58255241"/>
        <c:axId val="54535122"/>
      </c:scatterChart>
      <c:valAx>
        <c:axId val="58255241"/>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4535122"/>
        <c:crosses val="autoZero"/>
        <c:crossBetween val="midCat"/>
        <c:dispUnits/>
      </c:valAx>
      <c:valAx>
        <c:axId val="5453512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GHG emissions (MtCO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8255241"/>
        <c:crosses val="autoZero"/>
        <c:crossBetween val="midCat"/>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46"/>
          <c:y val="0.02775"/>
        </c:manualLayout>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2"/>
          <c:y val="0.144"/>
          <c:w val="0.89025"/>
          <c:h val="0.54375"/>
        </c:manualLayout>
      </c:layout>
      <c:lineChart>
        <c:grouping val="standard"/>
        <c:varyColors val="0"/>
        <c:ser>
          <c:idx val="2"/>
          <c:order val="0"/>
          <c:tx>
            <c:strRef>
              <c:f>'2 Growth'!$A$90</c:f>
              <c:strCache>
                <c:ptCount val="1"/>
                <c:pt idx="0">
                  <c:v>Mobile Networks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 Growth'!$B$87:$N$87</c:f>
              <c:numCache/>
            </c:numRef>
          </c:cat>
          <c:val>
            <c:numRef>
              <c:f>'2 Growth'!$B$90:$N$90</c:f>
              <c:numCache/>
            </c:numRef>
          </c:val>
          <c:smooth val="0"/>
        </c:ser>
        <c:ser>
          <c:idx val="3"/>
          <c:order val="1"/>
          <c:tx>
            <c:strRef>
              <c:f>'2 Growth'!$A$91</c:f>
              <c:strCache>
                <c:ptCount val="1"/>
                <c:pt idx="0">
                  <c:v>TOTAL Networks</c:v>
                </c:pt>
              </c:strCache>
            </c:strRef>
          </c:tx>
          <c:spPr>
            <a:ln w="28575" cap="rnd">
              <a:solidFill>
                <a:schemeClr val="accent6">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 Growth'!$B$87:$N$87</c:f>
              <c:numCache/>
            </c:numRef>
          </c:cat>
          <c:val>
            <c:numRef>
              <c:f>'2 Growth'!$B$91:$N$91</c:f>
              <c:numCache/>
            </c:numRef>
          </c:val>
          <c:smooth val="0"/>
        </c:ser>
        <c:ser>
          <c:idx val="4"/>
          <c:order val="2"/>
          <c:tx>
            <c:strRef>
              <c:f>'2 Growth'!$A$92</c:f>
              <c:strCache>
                <c:ptCount val="1"/>
                <c:pt idx="0">
                  <c:v>Hyperdatacenters</c:v>
                </c:pt>
              </c:strCache>
            </c:strRef>
          </c:tx>
          <c:spPr>
            <a:ln w="28575" cap="rnd">
              <a:solidFill>
                <a:schemeClr val="accent5">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 Growth'!$B$87:$N$87</c:f>
              <c:numCache/>
            </c:numRef>
          </c:cat>
          <c:val>
            <c:numRef>
              <c:f>'2 Growth'!$B$92:$N$92</c:f>
              <c:numCache/>
            </c:numRef>
          </c:val>
          <c:smooth val="0"/>
        </c:ser>
        <c:ser>
          <c:idx val="5"/>
          <c:order val="3"/>
          <c:tx>
            <c:strRef>
              <c:f>'2 Growth'!$A$93</c:f>
              <c:strCache>
                <c:ptCount val="1"/>
                <c:pt idx="0">
                  <c:v>Other Data Centers</c:v>
                </c:pt>
              </c:strCache>
            </c:strRef>
          </c:tx>
          <c:spPr>
            <a:ln w="28575" cap="rnd">
              <a:solidFill>
                <a:schemeClr val="accent4">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 Growth'!$B$87:$N$87</c:f>
              <c:numCache/>
            </c:numRef>
          </c:cat>
          <c:val>
            <c:numRef>
              <c:f>'2 Growth'!$B$93:$N$93</c:f>
              <c:numCache/>
            </c:numRef>
          </c:val>
          <c:smooth val="0"/>
        </c:ser>
        <c:ser>
          <c:idx val="6"/>
          <c:order val="4"/>
          <c:tx>
            <c:strRef>
              <c:f>'2 Growth'!$A$94</c:f>
              <c:strCache>
                <c:ptCount val="1"/>
                <c:pt idx="0">
                  <c:v>TOTAL Data Centers</c:v>
                </c:pt>
              </c:strCache>
            </c:strRef>
          </c:tx>
          <c:spPr>
            <a:ln w="28575" cap="rnd">
              <a:solidFill>
                <a:schemeClr val="accent6">
                  <a:lumMod val="80000"/>
                  <a:lumOff val="2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 Growth'!$B$87:$N$87</c:f>
              <c:numCache/>
            </c:numRef>
          </c:cat>
          <c:val>
            <c:numRef>
              <c:f>'2 Growth'!$B$94:$N$94</c:f>
              <c:numCache/>
            </c:numRef>
          </c:val>
          <c:smooth val="0"/>
        </c:ser>
        <c:axId val="30684595"/>
        <c:axId val="7725900"/>
      </c:lineChart>
      <c:catAx>
        <c:axId val="306845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725900"/>
        <c:crosses val="autoZero"/>
        <c:auto val="1"/>
        <c:lblOffset val="100"/>
        <c:noMultiLvlLbl val="0"/>
      </c:catAx>
      <c:valAx>
        <c:axId val="772590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68459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Emissions de gaz à effets de serre du secteur numérique (en MtCO</a:t>
            </a:r>
            <a:r>
              <a:rPr lang="en-US" cap="none" sz="1400" b="0" i="0" u="none" baseline="-25000">
                <a:latin typeface="Calibri"/>
                <a:ea typeface="Calibri"/>
                <a:cs typeface="Calibri"/>
              </a:rPr>
              <a:t>2</a:t>
            </a:r>
            <a:r>
              <a:rPr lang="en-US" cap="none" sz="1400" b="0" i="0" u="none" baseline="0">
                <a:solidFill>
                  <a:schemeClr val="tx1">
                    <a:lumMod val="65000"/>
                    <a:lumOff val="35000"/>
                  </a:schemeClr>
                </a:solidFill>
                <a:latin typeface="+mn-lt"/>
                <a:ea typeface="Calibri"/>
                <a:cs typeface="Calibri"/>
              </a:rPr>
              <a:t>e)</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Graphiques'!$C$6:$T$6</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Graphiques'!$C$5:$T$5</c:f>
              <c:numCache/>
            </c:numRef>
          </c:yVal>
          <c:smooth val="0"/>
        </c:ser>
        <c:ser>
          <c:idx val="3"/>
          <c:order val="2"/>
          <c:tx>
            <c:strRef>
              <c:f>'Output - Graphiques'!$B$8</c:f>
              <c:strCache>
                <c:ptCount val="1"/>
                <c:pt idx="0">
                  <c:v>Meta-métavers</c:v>
                </c:pt>
              </c:strCache>
            </c:strRef>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Graphiques'!$C$8:$T$8</c:f>
              <c:numCache/>
            </c:numRef>
          </c:yVal>
          <c:smooth val="0"/>
        </c:ser>
        <c:ser>
          <c:idx val="2"/>
          <c:order val="3"/>
          <c:tx>
            <c:strRef>
              <c:f>'Output - Graphiques'!$B$7</c:f>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Graphiques'!$C$7:$T$7</c:f>
            </c:numRef>
          </c:yVal>
          <c:smooth val="0"/>
        </c:ser>
        <c:axId val="21054051"/>
        <c:axId val="55268732"/>
      </c:scatterChart>
      <c:valAx>
        <c:axId val="21054051"/>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5268732"/>
        <c:crosses val="autoZero"/>
        <c:crossBetween val="midCat"/>
        <c:dispUnits/>
        <c:majorUnit val="2"/>
        <c:minorUnit val="1"/>
      </c:valAx>
      <c:valAx>
        <c:axId val="5526873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Emissions (MtCO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21054051"/>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TOTAL</a:t>
            </a:r>
            <a:r>
              <a:rPr lang="en-US" cap="none" sz="1400" b="0" i="0" u="none" baseline="0">
                <a:solidFill>
                  <a:schemeClr val="tx1">
                    <a:lumMod val="65000"/>
                    <a:lumOff val="35000"/>
                  </a:schemeClr>
                </a:solidFill>
                <a:latin typeface="+mn-lt"/>
                <a:ea typeface="Calibri"/>
                <a:cs typeface="Calibri"/>
              </a:rPr>
              <a:t> GHG Emissions (in MtCO</a:t>
            </a:r>
            <a:r>
              <a:rPr lang="en-US" cap="none" sz="1400" b="0" i="0" u="none" baseline="-25000">
                <a:latin typeface="Calibri"/>
                <a:ea typeface="Calibri"/>
                <a:cs typeface="Calibri"/>
              </a:rPr>
              <a:t>2</a:t>
            </a:r>
            <a:r>
              <a:rPr lang="en-US" cap="none" sz="1400" b="0" i="0" u="none" baseline="0">
                <a:solidFill>
                  <a:schemeClr val="tx1">
                    <a:lumMod val="65000"/>
                    <a:lumOff val="35000"/>
                  </a:schemeClr>
                </a:solidFill>
                <a:latin typeface="+mn-lt"/>
                <a:ea typeface="Calibri"/>
                <a:cs typeface="Calibri"/>
              </a:rPr>
              <a:t>e)</a:t>
            </a:r>
          </a:p>
        </c:rich>
      </c:tx>
      <c:layout/>
      <c:overlay val="0"/>
      <c:spPr>
        <a:noFill/>
        <a:ln>
          <a:noFill/>
        </a:ln>
      </c:spPr>
    </c:title>
    <c:plotArea>
      <c:layout/>
      <c:scatterChart>
        <c:scatterStyle val="lineMarker"/>
        <c:varyColors val="0"/>
        <c:ser>
          <c:idx val="1"/>
          <c:order val="0"/>
          <c:tx>
            <c:strRef>
              <c:f>'Output - Graphiques'!$B$6</c:f>
              <c:strCache>
                <c:ptCount val="1"/>
                <c:pt idx="0">
                  <c:v>Conservative</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Graphiques'!$C$6:$T$6</c:f>
              <c:numCache/>
            </c:numRef>
          </c:yVal>
          <c:smooth val="0"/>
        </c:ser>
        <c:ser>
          <c:idx val="3"/>
          <c:order val="1"/>
          <c:tx>
            <c:strRef>
              <c:f>'Output - Graphiques'!$B$31</c:f>
            </c:strRef>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Graphiques'!$C$31:$T$31</c:f>
            </c:numRef>
          </c:yVal>
          <c:smooth val="0"/>
        </c:ser>
        <c:ser>
          <c:idx val="2"/>
          <c:order val="2"/>
          <c:tx>
            <c:strRef>
              <c:f>'Output - Graphiques'!$B$32</c:f>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Graphiques'!$C$32:$T$32</c:f>
            </c:numRef>
          </c:yVal>
          <c:smooth val="0"/>
        </c:ser>
        <c:axId val="27656541"/>
        <c:axId val="47582278"/>
      </c:scatterChart>
      <c:valAx>
        <c:axId val="27656541"/>
        <c:scaling>
          <c:orientation val="minMax"/>
          <c:min val="2015"/>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47582278"/>
        <c:crosses val="autoZero"/>
        <c:crossBetween val="midCat"/>
        <c:dispUnits/>
        <c:majorUnit val="2"/>
        <c:minorUnit val="1"/>
      </c:valAx>
      <c:valAx>
        <c:axId val="4758227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GHG emissions (MtCO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27656541"/>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Electricity consumption : Networks (TWh)</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Graphiques'!$C$12:$T$12</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Graphiques'!$C$13:$T$13</c:f>
              <c:numCache/>
            </c:numRef>
          </c:yVal>
          <c:smooth val="0"/>
        </c:ser>
        <c:ser>
          <c:idx val="3"/>
          <c:order val="2"/>
          <c:tx>
            <c:v>Meta-metaverse</c:v>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Graphiques'!$C$11:$T$11</c:f>
              <c:numCache/>
            </c:numRef>
          </c:yVal>
          <c:smooth val="0"/>
        </c:ser>
        <c:axId val="25587319"/>
        <c:axId val="28959280"/>
      </c:scatterChart>
      <c:valAx>
        <c:axId val="25587319"/>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28959280"/>
        <c:crosses val="autoZero"/>
        <c:crossBetween val="midCat"/>
        <c:dispUnits/>
        <c:majorUnit val="2"/>
        <c:minorUnit val="1"/>
      </c:valAx>
      <c:valAx>
        <c:axId val="2895928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Electrical</a:t>
                </a:r>
                <a:r>
                  <a:rPr lang="en-US" cap="none" sz="1000" b="0" i="0" u="none" baseline="0">
                    <a:solidFill>
                      <a:schemeClr val="tx1">
                        <a:lumMod val="65000"/>
                        <a:lumOff val="35000"/>
                      </a:schemeClr>
                    </a:solidFill>
                    <a:latin typeface="+mn-lt"/>
                    <a:ea typeface="Calibri"/>
                    <a:cs typeface="Calibri"/>
                  </a:rPr>
                  <a:t> consumption (TWh)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25587319"/>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Electricity consumption : Data centres (TWh)</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Graphiques'!$C$15:$T$15</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Graphiques'!$C$16:$T$16</c:f>
              <c:numCache/>
            </c:numRef>
          </c:yVal>
          <c:smooth val="0"/>
        </c:ser>
        <c:ser>
          <c:idx val="3"/>
          <c:order val="2"/>
          <c:tx>
            <c:v>Meta-metaverse</c:v>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Graphiques'!$C$14:$T$14</c:f>
              <c:numCache/>
            </c:numRef>
          </c:yVal>
          <c:smooth val="0"/>
        </c:ser>
        <c:axId val="59306929"/>
        <c:axId val="64000314"/>
      </c:scatterChart>
      <c:valAx>
        <c:axId val="59306929"/>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64000314"/>
        <c:crosses val="autoZero"/>
        <c:crossBetween val="midCat"/>
        <c:dispUnits/>
        <c:majorUnit val="2"/>
        <c:minorUnit val="1"/>
      </c:valAx>
      <c:valAx>
        <c:axId val="6400031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Electrical</a:t>
                </a:r>
                <a:r>
                  <a:rPr lang="en-US" cap="none" sz="1000" b="0" i="0" u="none" baseline="0">
                    <a:solidFill>
                      <a:schemeClr val="tx1">
                        <a:lumMod val="65000"/>
                        <a:lumOff val="35000"/>
                      </a:schemeClr>
                    </a:solidFill>
                    <a:latin typeface="+mn-lt"/>
                    <a:ea typeface="Calibri"/>
                    <a:cs typeface="Calibri"/>
                  </a:rPr>
                  <a:t> consumption (TWh)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9306929"/>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Electricity consumption : Devices (TWh)</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Graphiques'!$C$18:$T$18</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Graphiques'!$C$19:$T$19</c:f>
              <c:numCache/>
            </c:numRef>
          </c:yVal>
          <c:smooth val="0"/>
        </c:ser>
        <c:ser>
          <c:idx val="3"/>
          <c:order val="2"/>
          <c:tx>
            <c:v>Meta-metaverse</c:v>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Graphiques'!$C$17:$T$17</c:f>
              <c:numCache/>
            </c:numRef>
          </c:yVal>
          <c:smooth val="0"/>
        </c:ser>
        <c:axId val="39131915"/>
        <c:axId val="16642916"/>
      </c:scatterChart>
      <c:valAx>
        <c:axId val="39131915"/>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16642916"/>
        <c:crosses val="autoZero"/>
        <c:crossBetween val="midCat"/>
        <c:dispUnits/>
        <c:majorUnit val="2"/>
        <c:minorUnit val="1"/>
      </c:valAx>
      <c:valAx>
        <c:axId val="1664291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Electrical</a:t>
                </a:r>
                <a:r>
                  <a:rPr lang="en-US" cap="none" sz="1000" b="0" i="0" u="none" baseline="0">
                    <a:solidFill>
                      <a:schemeClr val="tx1">
                        <a:lumMod val="65000"/>
                        <a:lumOff val="35000"/>
                      </a:schemeClr>
                    </a:solidFill>
                    <a:latin typeface="+mn-lt"/>
                    <a:ea typeface="Calibri"/>
                    <a:cs typeface="Calibri"/>
                  </a:rPr>
                  <a:t> consumption (TWh)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39131915"/>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Greenhouse gases emissions : Devices production (</a:t>
            </a:r>
            <a:r>
              <a:rPr lang="en-US" cap="none" sz="1400" b="0" i="0" u="none" baseline="0">
                <a:latin typeface="Calibri"/>
                <a:ea typeface="Calibri"/>
                <a:cs typeface="Calibri"/>
              </a:rPr>
              <a:t>MtCO</a:t>
            </a:r>
            <a:r>
              <a:rPr lang="en-US" cap="none" sz="1400" b="0" i="0" u="none" baseline="-25000">
                <a:latin typeface="Calibri"/>
                <a:ea typeface="Calibri"/>
                <a:cs typeface="Calibri"/>
              </a:rPr>
              <a:t>2</a:t>
            </a:r>
            <a:r>
              <a:rPr lang="en-US" cap="none" sz="1400" b="0" i="0" u="none" baseline="0">
                <a:latin typeface="Calibri"/>
                <a:ea typeface="Calibri"/>
                <a:cs typeface="Calibri"/>
              </a:rPr>
              <a:t>e</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Graphiques'!$C$23:$T$23</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Graphiques'!$C$24:$T$24</c:f>
              <c:numCache/>
            </c:numRef>
          </c:yVal>
          <c:smooth val="0"/>
        </c:ser>
        <c:ser>
          <c:idx val="3"/>
          <c:order val="2"/>
          <c:tx>
            <c:v>Meta-metaverse</c:v>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Graphiques'!$C$22:$T$22</c:f>
              <c:numCache/>
            </c:numRef>
          </c:yVal>
          <c:smooth val="0"/>
        </c:ser>
        <c:axId val="15568517"/>
        <c:axId val="5898926"/>
      </c:scatterChart>
      <c:valAx>
        <c:axId val="15568517"/>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898926"/>
        <c:crosses val="autoZero"/>
        <c:crossBetween val="midCat"/>
        <c:dispUnits/>
        <c:majorUnit val="2"/>
        <c:minorUnit val="1"/>
      </c:valAx>
      <c:valAx>
        <c:axId val="5898926"/>
        <c:scaling>
          <c:orientation val="minMax"/>
        </c:scaling>
        <c:axPos val="l"/>
        <c:title>
          <c:tx>
            <c:rich>
              <a:bodyPr vert="horz" rot="-5400000" anchor="ctr"/>
              <a:lstStyle/>
              <a:p>
                <a:pPr algn="ctr">
                  <a:defRPr/>
                </a:pPr>
                <a:r>
                  <a:rPr lang="en-US" cap="none" sz="1800" b="0" i="0" u="none" baseline="0">
                    <a:latin typeface="Calibri"/>
                    <a:ea typeface="Calibri"/>
                    <a:cs typeface="Calibri"/>
                  </a:rPr>
                  <a:t>Emissions (MtCO</a:t>
                </a:r>
                <a:r>
                  <a:rPr lang="en-US" cap="none" sz="1800" b="0" i="0" u="none" baseline="-25000">
                    <a:latin typeface="Calibri"/>
                    <a:ea typeface="Calibri"/>
                    <a:cs typeface="Calibri"/>
                  </a:rPr>
                  <a:t>2</a:t>
                </a:r>
                <a:r>
                  <a:rPr lang="en-US" cap="none" sz="1800" b="0" i="0" u="none" baseline="0">
                    <a:latin typeface="Calibri"/>
                    <a:ea typeface="Calibri"/>
                    <a:cs typeface="Calibri"/>
                  </a:rPr>
                  <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15568517"/>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Trafic (EB)</a:t>
            </a:r>
          </a:p>
        </c:rich>
      </c:tx>
      <c:layout/>
      <c:overlay val="0"/>
      <c:spPr>
        <a:noFill/>
        <a:ln>
          <a:noFill/>
        </a:ln>
      </c:spPr>
    </c:title>
    <c:plotArea>
      <c:layout>
        <c:manualLayout>
          <c:layoutTarget val="inner"/>
          <c:xMode val="edge"/>
          <c:yMode val="edge"/>
          <c:x val="0.16275"/>
          <c:y val="0.05175"/>
          <c:w val="0.814"/>
          <c:h val="0.6465"/>
        </c:manualLayout>
      </c:layout>
      <c:scatterChart>
        <c:scatterStyle val="lineMarker"/>
        <c:varyColors val="0"/>
        <c:ser>
          <c:idx val="6"/>
          <c:order val="0"/>
          <c:tx>
            <c:v>Mobile - Conservative</c:v>
          </c:tx>
          <c:extLst>
            <c:ext xmlns:c14="http://schemas.microsoft.com/office/drawing/2007/8/2/chart" uri="{6F2FDCE9-48DA-4B69-8628-5D25D57E5C99}">
              <c14:invertSolidFillFmt>
                <c14:spPr>
                  <a:solidFill>
                    <a:srgbClr val="000000"/>
                  </a:solidFill>
                </c14:spPr>
              </c14:invertSolidFillFmt>
            </c:ext>
          </c:extLst>
          <c:dPt>
            <c:idx val="17"/>
            <c:marker>
              <c:symbol val="plus"/>
              <c:size val="6"/>
            </c:marker>
          </c:dPt>
          <c:dLbls>
            <c:numFmt formatCode="General" sourceLinked="1"/>
            <c:showLegendKey val="0"/>
            <c:showVal val="0"/>
            <c:showBubbleSize val="0"/>
            <c:showCatName val="0"/>
            <c:showSerName val="0"/>
            <c:showPercent val="0"/>
          </c:dLbls>
          <c:xVal>
            <c:numRef>
              <c:f>Conservative!$B$77:$S$77</c:f>
              <c:numCache/>
            </c:numRef>
          </c:xVal>
          <c:yVal>
            <c:numRef>
              <c:f>Conservative!$B$81:$S$81</c:f>
              <c:numCache/>
            </c:numRef>
          </c:yVal>
          <c:smooth val="0"/>
        </c:ser>
        <c:ser>
          <c:idx val="7"/>
          <c:order val="1"/>
          <c:tx>
            <c:v>Mobile - Growth</c:v>
          </c:tx>
          <c:extLst>
            <c:ext xmlns:c14="http://schemas.microsoft.com/office/drawing/2007/8/2/chart" uri="{6F2FDCE9-48DA-4B69-8628-5D25D57E5C99}">
              <c14:invertSolidFillFmt>
                <c14:spPr>
                  <a:solidFill>
                    <a:srgbClr val="000000"/>
                  </a:solidFill>
                </c14:spPr>
              </c14:invertSolidFillFmt>
            </c:ext>
          </c:extLst>
          <c:marker>
            <c:symbol val="plus"/>
            <c:size val="6"/>
          </c:marker>
          <c:dLbls>
            <c:numFmt formatCode="General" sourceLinked="1"/>
            <c:showLegendKey val="0"/>
            <c:showVal val="0"/>
            <c:showBubbleSize val="0"/>
            <c:showCatName val="0"/>
            <c:showSerName val="0"/>
            <c:showPercent val="0"/>
          </c:dLbls>
          <c:xVal>
            <c:numRef>
              <c:f>Growth!$B$77:$S$77</c:f>
              <c:numCache/>
            </c:numRef>
          </c:xVal>
          <c:yVal>
            <c:numRef>
              <c:f>Growth!$B$81:$S$81</c:f>
              <c:numCache/>
            </c:numRef>
          </c:yVal>
          <c:smooth val="0"/>
        </c:ser>
        <c:ser>
          <c:idx val="8"/>
          <c:order val="2"/>
          <c:tx>
            <c:v>Mobile Meta-métavers</c:v>
          </c:tx>
          <c:spPr>
            <a:ln w="12700" cap="flat" cmpd="sng">
              <a:solidFill>
                <a:schemeClr val="accent4"/>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chemeClr val="bg1"/>
              </a:solidFill>
              <a:ln w="12700" cap="flat" cmpd="sng">
                <a:solidFill>
                  <a:schemeClr val="accent4"/>
                </a:solidFill>
                <a:prstDash val="solid"/>
                <a:miter lim="800000"/>
              </a:ln>
            </c:spPr>
          </c:marker>
          <c:dLbls>
            <c:numFmt formatCode="General" sourceLinked="1"/>
            <c:showLegendKey val="0"/>
            <c:showVal val="0"/>
            <c:showBubbleSize val="0"/>
            <c:showCatName val="0"/>
            <c:showSerName val="0"/>
            <c:showPercent val="0"/>
          </c:dLbls>
          <c:xVal>
            <c:numRef>
              <c:f>MetaMetaverse!$B$77:$S$77</c:f>
              <c:numCache/>
            </c:numRef>
          </c:xVal>
          <c:yVal>
            <c:numRef>
              <c:f>MetaMetaverse!$B$81:$S$81</c:f>
              <c:numCache/>
            </c:numRef>
          </c:yVal>
          <c:smooth val="0"/>
        </c:ser>
        <c:ser>
          <c:idx val="9"/>
          <c:order val="3"/>
          <c:tx>
            <c:v>Fixed wired - Conservative</c:v>
          </c:tx>
          <c:spPr>
            <a:ln w="12700" cap="flat" cmpd="sng">
              <a:solidFill>
                <a:schemeClr val="accent1"/>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bg1"/>
              </a:solidFill>
              <a:ln w="12700" cap="flat" cmpd="sng">
                <a:solidFill>
                  <a:schemeClr val="accent1"/>
                </a:solidFill>
                <a:prstDash val="solid"/>
                <a:miter lim="800000"/>
              </a:ln>
            </c:spPr>
          </c:marker>
          <c:dLbls>
            <c:numFmt formatCode="General" sourceLinked="1"/>
            <c:showLegendKey val="0"/>
            <c:showVal val="0"/>
            <c:showBubbleSize val="0"/>
            <c:showCatName val="0"/>
            <c:showSerName val="0"/>
            <c:showPercent val="0"/>
          </c:dLbls>
          <c:xVal>
            <c:numRef>
              <c:f>Conservative!$B$77:$S$77</c:f>
              <c:numCache/>
            </c:numRef>
          </c:xVal>
          <c:yVal>
            <c:numRef>
              <c:f>Conservative!$B$78:$S$78</c:f>
              <c:numCache/>
            </c:numRef>
          </c:yVal>
          <c:smooth val="0"/>
        </c:ser>
        <c:ser>
          <c:idx val="10"/>
          <c:order val="4"/>
          <c:tx>
            <c:v>Fixed wired - Growth</c:v>
          </c:tx>
          <c:spPr>
            <a:ln w="12700" cap="flat" cmpd="sng">
              <a:solidFill>
                <a:schemeClr val="accent2"/>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bg1"/>
              </a:solidFill>
              <a:ln w="12700" cap="flat" cmpd="sng">
                <a:solidFill>
                  <a:schemeClr val="accent2"/>
                </a:solidFill>
                <a:prstDash val="solid"/>
                <a:miter lim="800000"/>
              </a:ln>
            </c:spPr>
          </c:marker>
          <c:dLbls>
            <c:numFmt formatCode="General" sourceLinked="1"/>
            <c:showLegendKey val="0"/>
            <c:showVal val="0"/>
            <c:showBubbleSize val="0"/>
            <c:showCatName val="0"/>
            <c:showSerName val="0"/>
            <c:showPercent val="0"/>
          </c:dLbls>
          <c:xVal>
            <c:numRef>
              <c:f>Growth!$B$77:$S$77</c:f>
              <c:numCache/>
            </c:numRef>
          </c:xVal>
          <c:yVal>
            <c:numRef>
              <c:f>Growth!$B$78:$S$78</c:f>
              <c:numCache/>
            </c:numRef>
          </c:yVal>
          <c:smooth val="0"/>
        </c:ser>
        <c:ser>
          <c:idx val="11"/>
          <c:order val="5"/>
          <c:tx>
            <c:v>Fixed wired - Meta-métavers</c:v>
          </c:tx>
          <c:spPr>
            <a:ln w="12700" cap="flat" cmpd="sng">
              <a:solidFill>
                <a:schemeClr val="accent4"/>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bg1"/>
              </a:solidFill>
              <a:ln w="12700" cap="flat" cmpd="sng">
                <a:solidFill>
                  <a:schemeClr val="accent4"/>
                </a:solidFill>
                <a:prstDash val="solid"/>
                <a:miter lim="800000"/>
              </a:ln>
            </c:spPr>
          </c:marker>
          <c:dLbls>
            <c:numFmt formatCode="General" sourceLinked="1"/>
            <c:showLegendKey val="0"/>
            <c:showVal val="0"/>
            <c:showBubbleSize val="0"/>
            <c:showCatName val="0"/>
            <c:showSerName val="0"/>
            <c:showPercent val="0"/>
          </c:dLbls>
          <c:xVal>
            <c:numRef>
              <c:f>MetaMetaverse!$B$77:$S$77</c:f>
              <c:numCache/>
            </c:numRef>
          </c:xVal>
          <c:yVal>
            <c:numRef>
              <c:f>MetaMetaverse!$B$78:$S$78</c:f>
              <c:numCache/>
            </c:numRef>
          </c:yVal>
          <c:smooth val="0"/>
        </c:ser>
        <c:ser>
          <c:idx val="2"/>
          <c:order val="6"/>
          <c:tx>
            <c:v>Fixed wifi - Conservative</c:v>
          </c:tx>
          <c:spPr>
            <a:ln w="12700" cap="flat" cmpd="sng">
              <a:solidFill>
                <a:schemeClr val="accent1"/>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2700" cap="flat" cmpd="sng">
                <a:solidFill>
                  <a:schemeClr val="accent1"/>
                </a:solidFill>
                <a:prstDash val="solid"/>
                <a:miter lim="800000"/>
              </a:ln>
            </c:spPr>
          </c:marker>
          <c:dLbls>
            <c:numFmt formatCode="General" sourceLinked="1"/>
            <c:showLegendKey val="0"/>
            <c:showVal val="0"/>
            <c:showBubbleSize val="0"/>
            <c:showCatName val="0"/>
            <c:showSerName val="0"/>
            <c:showPercent val="0"/>
          </c:dLbls>
          <c:xVal>
            <c:numRef>
              <c:f>Conservative!$B$77:$S$77</c:f>
              <c:numCache/>
            </c:numRef>
          </c:xVal>
          <c:yVal>
            <c:numRef>
              <c:f>Conservative!$B$79:$S$79</c:f>
              <c:numCache/>
            </c:numRef>
          </c:yVal>
          <c:smooth val="0"/>
        </c:ser>
        <c:ser>
          <c:idx val="4"/>
          <c:order val="7"/>
          <c:tx>
            <c:v>Fixed wifi - Growth</c:v>
          </c:tx>
          <c:spPr>
            <a:ln w="12700" cap="flat" cmpd="sng">
              <a:solidFill>
                <a:schemeClr val="accent2"/>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2700" cap="flat" cmpd="sng">
                <a:solidFill>
                  <a:schemeClr val="accent2"/>
                </a:solidFill>
                <a:prstDash val="solid"/>
                <a:miter lim="800000"/>
              </a:ln>
            </c:spPr>
          </c:marker>
          <c:dLbls>
            <c:numFmt formatCode="General" sourceLinked="1"/>
            <c:showLegendKey val="0"/>
            <c:showVal val="0"/>
            <c:showBubbleSize val="0"/>
            <c:showCatName val="0"/>
            <c:showSerName val="0"/>
            <c:showPercent val="0"/>
          </c:dLbls>
          <c:xVal>
            <c:numRef>
              <c:f>Growth!$B$77:$S$77</c:f>
              <c:numCache/>
            </c:numRef>
          </c:xVal>
          <c:yVal>
            <c:numRef>
              <c:f>Growth!$B$79:$S$79</c:f>
              <c:numCache/>
            </c:numRef>
          </c:yVal>
          <c:smooth val="0"/>
        </c:ser>
        <c:ser>
          <c:idx val="5"/>
          <c:order val="8"/>
          <c:tx>
            <c:v>Fixed wifi - Meta-métavers</c:v>
          </c:tx>
          <c:spPr>
            <a:ln w="12700" cap="flat" cmpd="sng">
              <a:solidFill>
                <a:schemeClr val="accent4"/>
              </a:solidFill>
              <a:prstDash val="solid"/>
              <a:miter lim="800000"/>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bg1"/>
              </a:solidFill>
              <a:ln w="12700" cap="flat" cmpd="sng">
                <a:solidFill>
                  <a:schemeClr val="accent4"/>
                </a:solidFill>
                <a:prstDash val="solid"/>
                <a:miter lim="800000"/>
              </a:ln>
            </c:spPr>
          </c:marker>
          <c:dLbls>
            <c:numFmt formatCode="General" sourceLinked="1"/>
            <c:showLegendKey val="0"/>
            <c:showVal val="0"/>
            <c:showBubbleSize val="0"/>
            <c:showCatName val="0"/>
            <c:showSerName val="0"/>
            <c:showPercent val="0"/>
          </c:dLbls>
          <c:xVal>
            <c:numRef>
              <c:f>MetaMetaverse!$B$77:$S$77</c:f>
              <c:numCache/>
            </c:numRef>
          </c:xVal>
          <c:yVal>
            <c:numRef>
              <c:f>MetaMetaverse!$B$79:$S$79</c:f>
              <c:numCache/>
            </c:numRef>
          </c:yVal>
          <c:smooth val="0"/>
        </c:ser>
        <c:axId val="53090335"/>
        <c:axId val="8050968"/>
      </c:scatterChart>
      <c:valAx>
        <c:axId val="53090335"/>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Calibri"/>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8050968"/>
        <c:crosses val="autoZero"/>
        <c:crossBetween val="midCat"/>
        <c:dispUnits/>
        <c:majorUnit val="2"/>
        <c:minorUnit val="1"/>
      </c:valAx>
      <c:valAx>
        <c:axId val="805096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Trafic (EB)</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3090335"/>
        <c:crosses val="autoZero"/>
        <c:crossBetween val="midCat"/>
        <c:dispUnits/>
      </c:valAx>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Greenhouse gases emissions from the digital sector (in MtCO</a:t>
            </a:r>
            <a:r>
              <a:rPr lang="en-US" cap="none" sz="1400" b="0" i="0" u="none" baseline="-25000">
                <a:latin typeface="Calibri"/>
                <a:ea typeface="Calibri"/>
                <a:cs typeface="Calibri"/>
              </a:rPr>
              <a:t>2</a:t>
            </a:r>
            <a:r>
              <a:rPr lang="en-US" cap="none" sz="1400" b="0" i="0" u="none" baseline="0">
                <a:solidFill>
                  <a:schemeClr val="tx1">
                    <a:lumMod val="65000"/>
                    <a:lumOff val="35000"/>
                  </a:schemeClr>
                </a:solidFill>
                <a:latin typeface="+mn-lt"/>
                <a:ea typeface="Calibri"/>
                <a:cs typeface="Calibri"/>
              </a:rPr>
              <a:t>e)</a:t>
            </a:r>
          </a:p>
        </c:rich>
      </c:tx>
      <c:layout/>
      <c:overlay val="0"/>
      <c:spPr>
        <a:noFill/>
        <a:ln>
          <a:noFill/>
        </a:ln>
      </c:spPr>
    </c:title>
    <c:plotArea>
      <c:layout/>
      <c:scatterChart>
        <c:scatterStyle val="lineMarker"/>
        <c:varyColors val="0"/>
        <c:ser>
          <c:idx val="0"/>
          <c:order val="0"/>
          <c:tx>
            <c:strRef>
              <c:f>'Output - Graphiques'!$B$6</c:f>
              <c:strCache>
                <c:ptCount val="1"/>
                <c:pt idx="0">
                  <c:v>Conservative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Graphiques'!$C$6:$T$6</c:f>
              <c:numCache/>
            </c:numRef>
          </c:yVal>
          <c:smooth val="0"/>
        </c:ser>
        <c:ser>
          <c:idx val="1"/>
          <c:order val="1"/>
          <c:tx>
            <c:strRef>
              <c:f>'Output - Graphiques'!$B$5</c:f>
              <c:strCache>
                <c:ptCount val="1"/>
                <c:pt idx="0">
                  <c:v>Growth</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Graphiques'!$C$5:$T$5</c:f>
              <c:numCache/>
            </c:numRef>
          </c:yVal>
          <c:smooth val="0"/>
        </c:ser>
        <c:ser>
          <c:idx val="3"/>
          <c:order val="2"/>
          <c:tx>
            <c:v>Meta-metaverse</c:v>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Graphiques'!$C$8:$T$8</c:f>
              <c:numCache/>
            </c:numRef>
          </c:yVal>
          <c:smooth val="0"/>
        </c:ser>
        <c:ser>
          <c:idx val="2"/>
          <c:order val="3"/>
          <c:tx>
            <c:strRef>
              <c:f>'Output - Graphiques'!$B$7</c:f>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numRef>
              <c:f>'Output - Graphiques'!$C$3:$T$3</c:f>
              <c:numCache/>
            </c:numRef>
          </c:xVal>
          <c:yVal>
            <c:numRef>
              <c:f>'Output - Graphiques'!$C$7:$T$7</c:f>
            </c:numRef>
          </c:yVal>
          <c:smooth val="0"/>
        </c:ser>
        <c:axId val="5349849"/>
        <c:axId val="48148642"/>
      </c:scatterChart>
      <c:valAx>
        <c:axId val="5349849"/>
        <c:scaling>
          <c:orientation val="minMax"/>
          <c:min val="2016"/>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48148642"/>
        <c:crosses val="autoZero"/>
        <c:crossBetween val="midCat"/>
        <c:dispUnits/>
        <c:majorUnit val="2"/>
        <c:minorUnit val="1"/>
      </c:valAx>
      <c:valAx>
        <c:axId val="4814864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Emissions (MtCO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Calibri"/>
                <a:cs typeface="Calibri"/>
              </a:defRPr>
            </a:pPr>
          </a:p>
        </c:txPr>
        <c:crossAx val="5349849"/>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l="0.69999999999999996" r="0.69999999999999996" t="0.75" b="0.75" header="0.29999999999999999" footer="0.29999999999999999"/>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miter/>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19050"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Wireframe>
    <cs:lnRef idx="0">
      <cs:styleClr val="auto"/>
    </cs:lnRef>
    <cs:fillRef idx="0"/>
    <cs:effectRef idx="0"/>
    <cs:fontRef idx="minor">
      <a:schemeClr val="dk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bwMode="auto">
      <a:prstGeom prst="rect">
        <a:avLst/>
      </a:prstGeom>
      <a:ln w="9525" cap="flat" cmpd="sng" algn="ctr">
        <a:solidFill>
          <a:schemeClr val="tx1">
            <a:lumMod val="25000"/>
            <a:lumOff val="75000"/>
          </a:schemeClr>
        </a:solidFill>
        <a:round/>
      </a:ln>
    </cs:spPr>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bwMode="auto">
      <a:prstGeom prst="rect">
        <a:avLst/>
      </a:prstGeom>
      <a:solidFill>
        <a:schemeClr val="phClr"/>
      </a:solidFill>
    </cs:spPr>
  </cs:dataPoint>
  <cs:dataPoint3D>
    <cs:lnRef idx="0"/>
    <cs:fillRef idx="1">
      <cs:styleClr val="auto"/>
    </cs:fillRef>
    <cs:effectRef idx="0"/>
    <cs:fontRef idx="minor">
      <a:schemeClr val="tx1"/>
    </cs:fontRef>
    <cs:spPr bwMode="auto">
      <a:prstGeom prst="rect">
        <a:avLst/>
      </a:prstGeom>
      <a:solidFill>
        <a:schemeClr val="phClr"/>
      </a:solidFill>
    </cs:spPr>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solidFill>
        <a:schemeClr val="phClr"/>
      </a:solidFill>
      <a:ln w="9525">
        <a:solidFill>
          <a:schemeClr val="phClr"/>
        </a:solidFill>
      </a:ln>
    </cs:spPr>
  </cs:dataPointMarker>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dataPointMarkerLayout symbol="circle" size="5"/>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885825</xdr:colOff>
      <xdr:row>219</xdr:row>
      <xdr:rowOff>152400</xdr:rowOff>
    </xdr:from>
    <xdr:to>
      <xdr:col>22</xdr:col>
      <xdr:colOff>0</xdr:colOff>
      <xdr:row>239</xdr:row>
      <xdr:rowOff>95250</xdr:rowOff>
    </xdr:to>
    <xdr:pic>
      <xdr:nvPicPr>
        <xdr:cNvPr id="2" name="Image 1"/>
        <xdr:cNvPicPr preferRelativeResize="1">
          <a:picLocks noChangeAspect="1"/>
        </xdr:cNvPicPr>
      </xdr:nvPicPr>
      <xdr:blipFill>
        <a:blip r:embed="rId1"/>
        <a:stretch>
          <a:fillRect/>
        </a:stretch>
      </xdr:blipFill>
      <xdr:spPr bwMode="auto">
        <a:xfrm>
          <a:off x="16821150" y="46186725"/>
          <a:ext cx="4305300" cy="3209925"/>
        </a:xfrm>
        <a:prstGeom prst="rect">
          <a:avLst/>
        </a:prstGeom>
        <a:noFill/>
        <a:ln>
          <a:noFill/>
        </a:ln>
      </xdr:spPr>
    </xdr:pic>
    <xdr:clientData/>
  </xdr:twoCellAnchor>
  <xdr:twoCellAnchor editAs="oneCell">
    <xdr:from>
      <xdr:col>11</xdr:col>
      <xdr:colOff>800100</xdr:colOff>
      <xdr:row>233</xdr:row>
      <xdr:rowOff>76200</xdr:rowOff>
    </xdr:from>
    <xdr:to>
      <xdr:col>24</xdr:col>
      <xdr:colOff>457200</xdr:colOff>
      <xdr:row>242</xdr:row>
      <xdr:rowOff>85725</xdr:rowOff>
    </xdr:to>
    <xdr:pic>
      <xdr:nvPicPr>
        <xdr:cNvPr id="3" name="Image 2"/>
        <xdr:cNvPicPr preferRelativeResize="1">
          <a:picLocks noChangeAspect="1"/>
        </xdr:cNvPicPr>
      </xdr:nvPicPr>
      <xdr:blipFill>
        <a:blip r:embed="rId2"/>
        <a:stretch>
          <a:fillRect/>
        </a:stretch>
      </xdr:blipFill>
      <xdr:spPr bwMode="auto">
        <a:xfrm>
          <a:off x="13820775" y="48406050"/>
          <a:ext cx="10086975" cy="1466850"/>
        </a:xfrm>
        <a:prstGeom prst="rect">
          <a:avLst/>
        </a:prstGeom>
        <a:noFill/>
        <a:ln>
          <a:noFill/>
        </a:ln>
      </xdr:spPr>
    </xdr:pic>
    <xdr:clientData/>
  </xdr:twoCellAnchor>
  <xdr:twoCellAnchor editAs="oneCell">
    <xdr:from>
      <xdr:col>11</xdr:col>
      <xdr:colOff>400050</xdr:colOff>
      <xdr:row>242</xdr:row>
      <xdr:rowOff>123825</xdr:rowOff>
    </xdr:from>
    <xdr:to>
      <xdr:col>20</xdr:col>
      <xdr:colOff>123825</xdr:colOff>
      <xdr:row>270</xdr:row>
      <xdr:rowOff>38100</xdr:rowOff>
    </xdr:to>
    <xdr:pic>
      <xdr:nvPicPr>
        <xdr:cNvPr id="4" name="Image 3"/>
        <xdr:cNvPicPr preferRelativeResize="1">
          <a:picLocks noChangeAspect="1"/>
        </xdr:cNvPicPr>
      </xdr:nvPicPr>
      <xdr:blipFill>
        <a:blip r:embed="rId3"/>
        <a:stretch>
          <a:fillRect/>
        </a:stretch>
      </xdr:blipFill>
      <xdr:spPr bwMode="auto">
        <a:xfrm>
          <a:off x="13420725" y="49911000"/>
          <a:ext cx="6553200" cy="5095875"/>
        </a:xfrm>
        <a:prstGeom prst="rect">
          <a:avLst/>
        </a:prstGeom>
        <a:noFill/>
        <a:ln>
          <a:noFill/>
        </a:ln>
      </xdr:spPr>
    </xdr:pic>
    <xdr:clientData/>
  </xdr:twoCellAnchor>
  <xdr:twoCellAnchor editAs="oneCell">
    <xdr:from>
      <xdr:col>8</xdr:col>
      <xdr:colOff>57150</xdr:colOff>
      <xdr:row>300</xdr:row>
      <xdr:rowOff>104775</xdr:rowOff>
    </xdr:from>
    <xdr:to>
      <xdr:col>14</xdr:col>
      <xdr:colOff>0</xdr:colOff>
      <xdr:row>324</xdr:row>
      <xdr:rowOff>66675</xdr:rowOff>
    </xdr:to>
    <xdr:pic>
      <xdr:nvPicPr>
        <xdr:cNvPr id="5" name="image"/>
        <xdr:cNvPicPr preferRelativeResize="1">
          <a:picLocks noChangeAspect="1"/>
        </xdr:cNvPicPr>
      </xdr:nvPicPr>
      <xdr:blipFill>
        <a:blip r:embed="rId4"/>
        <a:stretch>
          <a:fillRect/>
        </a:stretch>
      </xdr:blipFill>
      <xdr:spPr bwMode="auto">
        <a:xfrm>
          <a:off x="9972675" y="61817250"/>
          <a:ext cx="5962650" cy="3848100"/>
        </a:xfrm>
        <a:prstGeom prst="rect">
          <a:avLst/>
        </a:prstGeom>
        <a:noFill/>
        <a:ln>
          <a:noFill/>
        </a:ln>
      </xdr:spPr>
    </xdr:pic>
    <xdr:clientData/>
  </xdr:twoCellAnchor>
  <xdr:twoCellAnchor editAs="oneCell">
    <xdr:from>
      <xdr:col>8</xdr:col>
      <xdr:colOff>104775</xdr:colOff>
      <xdr:row>325</xdr:row>
      <xdr:rowOff>123825</xdr:rowOff>
    </xdr:from>
    <xdr:to>
      <xdr:col>17</xdr:col>
      <xdr:colOff>9525</xdr:colOff>
      <xdr:row>362</xdr:row>
      <xdr:rowOff>114300</xdr:rowOff>
    </xdr:to>
    <xdr:pic>
      <xdr:nvPicPr>
        <xdr:cNvPr id="6" name="fullResImage"/>
        <xdr:cNvPicPr preferRelativeResize="1">
          <a:picLocks noChangeAspect="1"/>
        </xdr:cNvPicPr>
      </xdr:nvPicPr>
      <xdr:blipFill>
        <a:blip r:embed="rId5"/>
        <a:stretch>
          <a:fillRect/>
        </a:stretch>
      </xdr:blipFill>
      <xdr:spPr bwMode="auto">
        <a:xfrm>
          <a:off x="10020300" y="65884425"/>
          <a:ext cx="8124825" cy="5981700"/>
        </a:xfrm>
        <a:prstGeom prst="rect">
          <a:avLst/>
        </a:prstGeom>
        <a:noFill/>
        <a:ln>
          <a:noFill/>
        </a:ln>
      </xdr:spPr>
    </xdr:pic>
    <xdr:clientData/>
  </xdr:twoCellAnchor>
  <xdr:oneCellAnchor>
    <xdr:from>
      <xdr:col>0</xdr:col>
      <xdr:colOff>0</xdr:colOff>
      <xdr:row>323</xdr:row>
      <xdr:rowOff>0</xdr:rowOff>
    </xdr:from>
    <xdr:ext cx="304800" cy="314325"/>
    <xdr:sp>
      <xdr:nvSpPr>
        <xdr:cNvPr id="7" name="AutoShape 3"/>
        <xdr:cNvSpPr>
          <a:spLocks noChangeArrowheads="1" noChangeAspect="1"/>
        </xdr:cNvSpPr>
      </xdr:nvSpPr>
      <xdr:spPr bwMode="auto">
        <a:xfrm>
          <a:off x="0" y="65436750"/>
          <a:ext cx="304800" cy="314325"/>
        </a:xfrm>
        <a:prstGeom prst="rect">
          <a:avLst/>
        </a:prstGeom>
        <a:noFill/>
        <a:ln>
          <a:noFill/>
        </a:ln>
      </xdr:spPr>
    </xdr:sp>
    <xdr:clientData/>
  </xdr:oneCellAnchor>
  <xdr:oneCellAnchor>
    <xdr:from>
      <xdr:col>0</xdr:col>
      <xdr:colOff>0</xdr:colOff>
      <xdr:row>323</xdr:row>
      <xdr:rowOff>0</xdr:rowOff>
    </xdr:from>
    <xdr:ext cx="304800" cy="314325"/>
    <xdr:sp>
      <xdr:nvSpPr>
        <xdr:cNvPr id="8" name="AutoShape 4"/>
        <xdr:cNvSpPr>
          <a:spLocks noChangeArrowheads="1" noChangeAspect="1"/>
        </xdr:cNvSpPr>
      </xdr:nvSpPr>
      <xdr:spPr bwMode="auto">
        <a:xfrm>
          <a:off x="0" y="65436750"/>
          <a:ext cx="304800" cy="314325"/>
        </a:xfrm>
        <a:prstGeom prst="rect">
          <a:avLst/>
        </a:prstGeom>
        <a:noFill/>
        <a:ln>
          <a:noFill/>
        </a:ln>
      </xdr:spPr>
    </xdr:sp>
    <xdr:clientData/>
  </xdr:oneCellAnchor>
  <xdr:oneCellAnchor>
    <xdr:from>
      <xdr:col>2</xdr:col>
      <xdr:colOff>0</xdr:colOff>
      <xdr:row>430</xdr:row>
      <xdr:rowOff>0</xdr:rowOff>
    </xdr:from>
    <xdr:ext cx="304800" cy="314325"/>
    <xdr:sp>
      <xdr:nvSpPr>
        <xdr:cNvPr id="9" name="AutoShape 6"/>
        <xdr:cNvSpPr>
          <a:spLocks noChangeArrowheads="1" noChangeAspect="1"/>
        </xdr:cNvSpPr>
      </xdr:nvSpPr>
      <xdr:spPr bwMode="auto">
        <a:xfrm>
          <a:off x="4162425" y="84515325"/>
          <a:ext cx="304800" cy="314325"/>
        </a:xfrm>
        <a:prstGeom prst="rect">
          <a:avLst/>
        </a:prstGeom>
        <a:noFill/>
        <a:ln>
          <a:noFill/>
        </a:ln>
      </xdr:spPr>
    </xdr:sp>
    <xdr:clientData/>
  </xdr:oneCellAnchor>
  <xdr:twoCellAnchor editAs="oneCell">
    <xdr:from>
      <xdr:col>2</xdr:col>
      <xdr:colOff>0</xdr:colOff>
      <xdr:row>430</xdr:row>
      <xdr:rowOff>0</xdr:rowOff>
    </xdr:from>
    <xdr:to>
      <xdr:col>6</xdr:col>
      <xdr:colOff>695325</xdr:colOff>
      <xdr:row>447</xdr:row>
      <xdr:rowOff>133350</xdr:rowOff>
    </xdr:to>
    <xdr:pic>
      <xdr:nvPicPr>
        <xdr:cNvPr id="10" name="Image 9"/>
        <xdr:cNvPicPr preferRelativeResize="1">
          <a:picLocks noChangeAspect="1"/>
        </xdr:cNvPicPr>
      </xdr:nvPicPr>
      <xdr:blipFill>
        <a:blip r:embed="rId6"/>
        <a:stretch>
          <a:fillRect/>
        </a:stretch>
      </xdr:blipFill>
      <xdr:spPr bwMode="auto">
        <a:xfrm>
          <a:off x="4162425" y="84515325"/>
          <a:ext cx="4552950" cy="2914650"/>
        </a:xfrm>
        <a:prstGeom prst="rect">
          <a:avLst/>
        </a:prstGeom>
        <a:ln>
          <a:noFill/>
        </a:ln>
      </xdr:spPr>
    </xdr:pic>
    <xdr:clientData/>
  </xdr:twoCellAnchor>
  <xdr:twoCellAnchor editAs="oneCell">
    <xdr:from>
      <xdr:col>2</xdr:col>
      <xdr:colOff>0</xdr:colOff>
      <xdr:row>454</xdr:row>
      <xdr:rowOff>0</xdr:rowOff>
    </xdr:from>
    <xdr:to>
      <xdr:col>6</xdr:col>
      <xdr:colOff>723900</xdr:colOff>
      <xdr:row>468</xdr:row>
      <xdr:rowOff>142875</xdr:rowOff>
    </xdr:to>
    <xdr:pic>
      <xdr:nvPicPr>
        <xdr:cNvPr id="11" name="Image 10"/>
        <xdr:cNvPicPr preferRelativeResize="1">
          <a:picLocks noChangeAspect="1"/>
        </xdr:cNvPicPr>
      </xdr:nvPicPr>
      <xdr:blipFill>
        <a:blip r:embed="rId7"/>
        <a:stretch>
          <a:fillRect/>
        </a:stretch>
      </xdr:blipFill>
      <xdr:spPr bwMode="auto">
        <a:xfrm>
          <a:off x="4162425" y="88630125"/>
          <a:ext cx="4581525" cy="2438400"/>
        </a:xfrm>
        <a:prstGeom prst="rect">
          <a:avLst/>
        </a:prstGeom>
        <a:ln>
          <a:noFill/>
        </a:ln>
      </xdr:spPr>
    </xdr:pic>
    <xdr:clientData/>
  </xdr:twoCellAnchor>
  <xdr:twoCellAnchor editAs="oneCell">
    <xdr:from>
      <xdr:col>2</xdr:col>
      <xdr:colOff>0</xdr:colOff>
      <xdr:row>475</xdr:row>
      <xdr:rowOff>0</xdr:rowOff>
    </xdr:from>
    <xdr:to>
      <xdr:col>6</xdr:col>
      <xdr:colOff>704850</xdr:colOff>
      <xdr:row>510</xdr:row>
      <xdr:rowOff>133350</xdr:rowOff>
    </xdr:to>
    <xdr:pic>
      <xdr:nvPicPr>
        <xdr:cNvPr id="12" name="Image 11"/>
        <xdr:cNvPicPr preferRelativeResize="1">
          <a:picLocks noChangeAspect="1"/>
        </xdr:cNvPicPr>
      </xdr:nvPicPr>
      <xdr:blipFill>
        <a:blip r:embed="rId8"/>
        <a:stretch>
          <a:fillRect/>
        </a:stretch>
      </xdr:blipFill>
      <xdr:spPr bwMode="auto">
        <a:xfrm>
          <a:off x="4162425" y="92259150"/>
          <a:ext cx="4562475" cy="5829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704850</xdr:colOff>
      <xdr:row>212</xdr:row>
      <xdr:rowOff>152400</xdr:rowOff>
    </xdr:from>
    <xdr:to>
      <xdr:col>22</xdr:col>
      <xdr:colOff>190500</xdr:colOff>
      <xdr:row>232</xdr:row>
      <xdr:rowOff>95250</xdr:rowOff>
    </xdr:to>
    <xdr:pic>
      <xdr:nvPicPr>
        <xdr:cNvPr id="2" name="Image 1"/>
        <xdr:cNvPicPr preferRelativeResize="1">
          <a:picLocks noChangeAspect="1"/>
        </xdr:cNvPicPr>
      </xdr:nvPicPr>
      <xdr:blipFill>
        <a:blip r:embed="rId1"/>
        <a:stretch>
          <a:fillRect/>
        </a:stretch>
      </xdr:blipFill>
      <xdr:spPr bwMode="auto">
        <a:xfrm>
          <a:off x="12592050" y="45605700"/>
          <a:ext cx="4324350" cy="3209925"/>
        </a:xfrm>
        <a:prstGeom prst="rect">
          <a:avLst/>
        </a:prstGeom>
        <a:noFill/>
        <a:ln>
          <a:noFill/>
        </a:ln>
      </xdr:spPr>
    </xdr:pic>
    <xdr:clientData/>
  </xdr:twoCellAnchor>
  <xdr:twoCellAnchor editAs="oneCell">
    <xdr:from>
      <xdr:col>11</xdr:col>
      <xdr:colOff>590550</xdr:colOff>
      <xdr:row>226</xdr:row>
      <xdr:rowOff>19050</xdr:rowOff>
    </xdr:from>
    <xdr:to>
      <xdr:col>25</xdr:col>
      <xdr:colOff>647700</xdr:colOff>
      <xdr:row>235</xdr:row>
      <xdr:rowOff>28575</xdr:rowOff>
    </xdr:to>
    <xdr:pic>
      <xdr:nvPicPr>
        <xdr:cNvPr id="3" name="Image 2"/>
        <xdr:cNvPicPr preferRelativeResize="1">
          <a:picLocks noChangeAspect="1"/>
        </xdr:cNvPicPr>
      </xdr:nvPicPr>
      <xdr:blipFill>
        <a:blip r:embed="rId2"/>
        <a:stretch>
          <a:fillRect/>
        </a:stretch>
      </xdr:blipFill>
      <xdr:spPr bwMode="auto">
        <a:xfrm>
          <a:off x="10363200" y="47767875"/>
          <a:ext cx="10106025" cy="1466850"/>
        </a:xfrm>
        <a:prstGeom prst="rect">
          <a:avLst/>
        </a:prstGeom>
        <a:noFill/>
        <a:ln>
          <a:noFill/>
        </a:ln>
      </xdr:spPr>
    </xdr:pic>
    <xdr:clientData/>
  </xdr:twoCellAnchor>
  <xdr:twoCellAnchor editAs="oneCell">
    <xdr:from>
      <xdr:col>11</xdr:col>
      <xdr:colOff>400050</xdr:colOff>
      <xdr:row>235</xdr:row>
      <xdr:rowOff>123825</xdr:rowOff>
    </xdr:from>
    <xdr:to>
      <xdr:col>22</xdr:col>
      <xdr:colOff>0</xdr:colOff>
      <xdr:row>263</xdr:row>
      <xdr:rowOff>47625</xdr:rowOff>
    </xdr:to>
    <xdr:pic>
      <xdr:nvPicPr>
        <xdr:cNvPr id="4" name="Image 3"/>
        <xdr:cNvPicPr preferRelativeResize="1">
          <a:picLocks noChangeAspect="1"/>
        </xdr:cNvPicPr>
      </xdr:nvPicPr>
      <xdr:blipFill>
        <a:blip r:embed="rId3"/>
        <a:stretch>
          <a:fillRect/>
        </a:stretch>
      </xdr:blipFill>
      <xdr:spPr bwMode="auto">
        <a:xfrm>
          <a:off x="10172700" y="49329975"/>
          <a:ext cx="6553200" cy="5105400"/>
        </a:xfrm>
        <a:prstGeom prst="rect">
          <a:avLst/>
        </a:prstGeom>
        <a:noFill/>
        <a:ln>
          <a:noFill/>
        </a:ln>
      </xdr:spPr>
    </xdr:pic>
    <xdr:clientData/>
  </xdr:twoCellAnchor>
  <xdr:twoCellAnchor editAs="oneCell">
    <xdr:from>
      <xdr:col>8</xdr:col>
      <xdr:colOff>57150</xdr:colOff>
      <xdr:row>293</xdr:row>
      <xdr:rowOff>104775</xdr:rowOff>
    </xdr:from>
    <xdr:to>
      <xdr:col>16</xdr:col>
      <xdr:colOff>381000</xdr:colOff>
      <xdr:row>317</xdr:row>
      <xdr:rowOff>66675</xdr:rowOff>
    </xdr:to>
    <xdr:pic>
      <xdr:nvPicPr>
        <xdr:cNvPr id="5" name="image"/>
        <xdr:cNvPicPr preferRelativeResize="1">
          <a:picLocks noChangeAspect="1"/>
        </xdr:cNvPicPr>
      </xdr:nvPicPr>
      <xdr:blipFill>
        <a:blip r:embed="rId4"/>
        <a:stretch>
          <a:fillRect/>
        </a:stretch>
      </xdr:blipFill>
      <xdr:spPr bwMode="auto">
        <a:xfrm>
          <a:off x="7715250" y="61579125"/>
          <a:ext cx="5962650" cy="3848100"/>
        </a:xfrm>
        <a:prstGeom prst="rect">
          <a:avLst/>
        </a:prstGeom>
        <a:noFill/>
        <a:ln>
          <a:noFill/>
        </a:ln>
      </xdr:spPr>
    </xdr:pic>
    <xdr:clientData/>
  </xdr:twoCellAnchor>
  <xdr:twoCellAnchor editAs="oneCell">
    <xdr:from>
      <xdr:col>8</xdr:col>
      <xdr:colOff>104775</xdr:colOff>
      <xdr:row>318</xdr:row>
      <xdr:rowOff>123825</xdr:rowOff>
    </xdr:from>
    <xdr:to>
      <xdr:col>20</xdr:col>
      <xdr:colOff>295275</xdr:colOff>
      <xdr:row>355</xdr:row>
      <xdr:rowOff>114300</xdr:rowOff>
    </xdr:to>
    <xdr:pic>
      <xdr:nvPicPr>
        <xdr:cNvPr id="6" name="fullResImage"/>
        <xdr:cNvPicPr preferRelativeResize="1">
          <a:picLocks noChangeAspect="1"/>
        </xdr:cNvPicPr>
      </xdr:nvPicPr>
      <xdr:blipFill>
        <a:blip r:embed="rId5"/>
        <a:stretch>
          <a:fillRect/>
        </a:stretch>
      </xdr:blipFill>
      <xdr:spPr bwMode="auto">
        <a:xfrm>
          <a:off x="7762875" y="65646300"/>
          <a:ext cx="8115300" cy="5981700"/>
        </a:xfrm>
        <a:prstGeom prst="rect">
          <a:avLst/>
        </a:prstGeom>
        <a:noFill/>
        <a:ln>
          <a:noFill/>
        </a:ln>
      </xdr:spPr>
    </xdr:pic>
    <xdr:clientData/>
  </xdr:twoCellAnchor>
  <xdr:oneCellAnchor>
    <xdr:from>
      <xdr:col>0</xdr:col>
      <xdr:colOff>0</xdr:colOff>
      <xdr:row>316</xdr:row>
      <xdr:rowOff>0</xdr:rowOff>
    </xdr:from>
    <xdr:ext cx="304800" cy="304800"/>
    <xdr:sp>
      <xdr:nvSpPr>
        <xdr:cNvPr id="7" name="AutoShape 3"/>
        <xdr:cNvSpPr>
          <a:spLocks noChangeArrowheads="1" noChangeAspect="1"/>
        </xdr:cNvSpPr>
      </xdr:nvSpPr>
      <xdr:spPr bwMode="auto">
        <a:xfrm>
          <a:off x="0" y="65198625"/>
          <a:ext cx="304800" cy="304800"/>
        </a:xfrm>
        <a:prstGeom prst="rect">
          <a:avLst/>
        </a:prstGeom>
        <a:noFill/>
        <a:ln>
          <a:noFill/>
        </a:ln>
      </xdr:spPr>
    </xdr:sp>
    <xdr:clientData/>
  </xdr:oneCellAnchor>
  <xdr:oneCellAnchor>
    <xdr:from>
      <xdr:col>0</xdr:col>
      <xdr:colOff>0</xdr:colOff>
      <xdr:row>316</xdr:row>
      <xdr:rowOff>0</xdr:rowOff>
    </xdr:from>
    <xdr:ext cx="304800" cy="304800"/>
    <xdr:sp>
      <xdr:nvSpPr>
        <xdr:cNvPr id="8" name="AutoShape 4"/>
        <xdr:cNvSpPr>
          <a:spLocks noChangeArrowheads="1" noChangeAspect="1"/>
        </xdr:cNvSpPr>
      </xdr:nvSpPr>
      <xdr:spPr bwMode="auto">
        <a:xfrm>
          <a:off x="0" y="65198625"/>
          <a:ext cx="304800" cy="304800"/>
        </a:xfrm>
        <a:prstGeom prst="rect">
          <a:avLst/>
        </a:prstGeom>
        <a:noFill/>
        <a:ln>
          <a:noFill/>
        </a:ln>
      </xdr:spPr>
    </xdr:sp>
    <xdr:clientData/>
  </xdr:oneCellAnchor>
  <xdr:oneCellAnchor>
    <xdr:from>
      <xdr:col>2</xdr:col>
      <xdr:colOff>0</xdr:colOff>
      <xdr:row>423</xdr:row>
      <xdr:rowOff>0</xdr:rowOff>
    </xdr:from>
    <xdr:ext cx="304800" cy="304800"/>
    <xdr:sp>
      <xdr:nvSpPr>
        <xdr:cNvPr id="9" name="AutoShape 6"/>
        <xdr:cNvSpPr>
          <a:spLocks noChangeArrowheads="1" noChangeAspect="1"/>
        </xdr:cNvSpPr>
      </xdr:nvSpPr>
      <xdr:spPr bwMode="auto">
        <a:xfrm>
          <a:off x="3829050" y="84277200"/>
          <a:ext cx="304800" cy="304800"/>
        </a:xfrm>
        <a:prstGeom prst="rect">
          <a:avLst/>
        </a:prstGeom>
        <a:noFill/>
        <a:ln>
          <a:noFill/>
        </a:ln>
      </xdr:spPr>
    </xdr:sp>
    <xdr:clientData/>
  </xdr:oneCellAnchor>
  <xdr:twoCellAnchor editAs="oneCell">
    <xdr:from>
      <xdr:col>2</xdr:col>
      <xdr:colOff>0</xdr:colOff>
      <xdr:row>423</xdr:row>
      <xdr:rowOff>0</xdr:rowOff>
    </xdr:from>
    <xdr:to>
      <xdr:col>9</xdr:col>
      <xdr:colOff>9525</xdr:colOff>
      <xdr:row>440</xdr:row>
      <xdr:rowOff>133350</xdr:rowOff>
    </xdr:to>
    <xdr:pic>
      <xdr:nvPicPr>
        <xdr:cNvPr id="10" name="Image 9"/>
        <xdr:cNvPicPr preferRelativeResize="1">
          <a:picLocks noChangeAspect="1"/>
        </xdr:cNvPicPr>
      </xdr:nvPicPr>
      <xdr:blipFill>
        <a:blip r:embed="rId6"/>
        <a:stretch>
          <a:fillRect/>
        </a:stretch>
      </xdr:blipFill>
      <xdr:spPr bwMode="auto">
        <a:xfrm>
          <a:off x="3829050" y="84277200"/>
          <a:ext cx="4543425" cy="2914650"/>
        </a:xfrm>
        <a:prstGeom prst="rect">
          <a:avLst/>
        </a:prstGeom>
        <a:ln>
          <a:noFill/>
        </a:ln>
      </xdr:spPr>
    </xdr:pic>
    <xdr:clientData/>
  </xdr:twoCellAnchor>
  <xdr:twoCellAnchor editAs="oneCell">
    <xdr:from>
      <xdr:col>2</xdr:col>
      <xdr:colOff>0</xdr:colOff>
      <xdr:row>447</xdr:row>
      <xdr:rowOff>0</xdr:rowOff>
    </xdr:from>
    <xdr:to>
      <xdr:col>9</xdr:col>
      <xdr:colOff>9525</xdr:colOff>
      <xdr:row>461</xdr:row>
      <xdr:rowOff>152400</xdr:rowOff>
    </xdr:to>
    <xdr:pic>
      <xdr:nvPicPr>
        <xdr:cNvPr id="11" name="Image 10"/>
        <xdr:cNvPicPr preferRelativeResize="1">
          <a:picLocks noChangeAspect="1"/>
        </xdr:cNvPicPr>
      </xdr:nvPicPr>
      <xdr:blipFill>
        <a:blip r:embed="rId7"/>
        <a:stretch>
          <a:fillRect/>
        </a:stretch>
      </xdr:blipFill>
      <xdr:spPr bwMode="auto">
        <a:xfrm>
          <a:off x="3829050" y="88392000"/>
          <a:ext cx="4543425" cy="2447925"/>
        </a:xfrm>
        <a:prstGeom prst="rect">
          <a:avLst/>
        </a:prstGeom>
        <a:ln>
          <a:noFill/>
        </a:ln>
      </xdr:spPr>
    </xdr:pic>
    <xdr:clientData/>
  </xdr:twoCellAnchor>
  <xdr:twoCellAnchor editAs="oneCell">
    <xdr:from>
      <xdr:col>2</xdr:col>
      <xdr:colOff>0</xdr:colOff>
      <xdr:row>468</xdr:row>
      <xdr:rowOff>0</xdr:rowOff>
    </xdr:from>
    <xdr:to>
      <xdr:col>9</xdr:col>
      <xdr:colOff>0</xdr:colOff>
      <xdr:row>503</xdr:row>
      <xdr:rowOff>133350</xdr:rowOff>
    </xdr:to>
    <xdr:pic>
      <xdr:nvPicPr>
        <xdr:cNvPr id="12" name="Image 11"/>
        <xdr:cNvPicPr preferRelativeResize="1">
          <a:picLocks noChangeAspect="1"/>
        </xdr:cNvPicPr>
      </xdr:nvPicPr>
      <xdr:blipFill>
        <a:blip r:embed="rId8"/>
        <a:stretch>
          <a:fillRect/>
        </a:stretch>
      </xdr:blipFill>
      <xdr:spPr bwMode="auto">
        <a:xfrm>
          <a:off x="3829050" y="92021025"/>
          <a:ext cx="4533900" cy="58293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704850</xdr:colOff>
      <xdr:row>212</xdr:row>
      <xdr:rowOff>152400</xdr:rowOff>
    </xdr:from>
    <xdr:to>
      <xdr:col>22</xdr:col>
      <xdr:colOff>190500</xdr:colOff>
      <xdr:row>232</xdr:row>
      <xdr:rowOff>95250</xdr:rowOff>
    </xdr:to>
    <xdr:pic>
      <xdr:nvPicPr>
        <xdr:cNvPr id="2" name="Image 1"/>
        <xdr:cNvPicPr preferRelativeResize="1">
          <a:picLocks noChangeAspect="1"/>
        </xdr:cNvPicPr>
      </xdr:nvPicPr>
      <xdr:blipFill>
        <a:blip r:embed="rId1"/>
        <a:stretch>
          <a:fillRect/>
        </a:stretch>
      </xdr:blipFill>
      <xdr:spPr bwMode="auto">
        <a:xfrm>
          <a:off x="12592050" y="45615225"/>
          <a:ext cx="4324350" cy="3209925"/>
        </a:xfrm>
        <a:prstGeom prst="rect">
          <a:avLst/>
        </a:prstGeom>
        <a:noFill/>
        <a:ln>
          <a:noFill/>
        </a:ln>
      </xdr:spPr>
    </xdr:pic>
    <xdr:clientData/>
  </xdr:twoCellAnchor>
  <xdr:twoCellAnchor editAs="oneCell">
    <xdr:from>
      <xdr:col>11</xdr:col>
      <xdr:colOff>590550</xdr:colOff>
      <xdr:row>226</xdr:row>
      <xdr:rowOff>19050</xdr:rowOff>
    </xdr:from>
    <xdr:to>
      <xdr:col>26</xdr:col>
      <xdr:colOff>190500</xdr:colOff>
      <xdr:row>235</xdr:row>
      <xdr:rowOff>28575</xdr:rowOff>
    </xdr:to>
    <xdr:pic>
      <xdr:nvPicPr>
        <xdr:cNvPr id="3" name="Image 2"/>
        <xdr:cNvPicPr preferRelativeResize="1">
          <a:picLocks noChangeAspect="1"/>
        </xdr:cNvPicPr>
      </xdr:nvPicPr>
      <xdr:blipFill>
        <a:blip r:embed="rId2"/>
        <a:stretch>
          <a:fillRect/>
        </a:stretch>
      </xdr:blipFill>
      <xdr:spPr bwMode="auto">
        <a:xfrm>
          <a:off x="10363200" y="47777400"/>
          <a:ext cx="10077450" cy="1466850"/>
        </a:xfrm>
        <a:prstGeom prst="rect">
          <a:avLst/>
        </a:prstGeom>
        <a:noFill/>
        <a:ln>
          <a:noFill/>
        </a:ln>
      </xdr:spPr>
    </xdr:pic>
    <xdr:clientData/>
  </xdr:twoCellAnchor>
  <xdr:twoCellAnchor editAs="oneCell">
    <xdr:from>
      <xdr:col>11</xdr:col>
      <xdr:colOff>400050</xdr:colOff>
      <xdr:row>235</xdr:row>
      <xdr:rowOff>123825</xdr:rowOff>
    </xdr:from>
    <xdr:to>
      <xdr:col>22</xdr:col>
      <xdr:colOff>0</xdr:colOff>
      <xdr:row>263</xdr:row>
      <xdr:rowOff>47625</xdr:rowOff>
    </xdr:to>
    <xdr:pic>
      <xdr:nvPicPr>
        <xdr:cNvPr id="4" name="Image 3"/>
        <xdr:cNvPicPr preferRelativeResize="1">
          <a:picLocks noChangeAspect="1"/>
        </xdr:cNvPicPr>
      </xdr:nvPicPr>
      <xdr:blipFill>
        <a:blip r:embed="rId3"/>
        <a:stretch>
          <a:fillRect/>
        </a:stretch>
      </xdr:blipFill>
      <xdr:spPr bwMode="auto">
        <a:xfrm>
          <a:off x="10172700" y="49339500"/>
          <a:ext cx="6553200" cy="5105400"/>
        </a:xfrm>
        <a:prstGeom prst="rect">
          <a:avLst/>
        </a:prstGeom>
        <a:noFill/>
        <a:ln>
          <a:noFill/>
        </a:ln>
      </xdr:spPr>
    </xdr:pic>
    <xdr:clientData/>
  </xdr:twoCellAnchor>
  <xdr:twoCellAnchor editAs="oneCell">
    <xdr:from>
      <xdr:col>8</xdr:col>
      <xdr:colOff>57150</xdr:colOff>
      <xdr:row>293</xdr:row>
      <xdr:rowOff>104775</xdr:rowOff>
    </xdr:from>
    <xdr:to>
      <xdr:col>16</xdr:col>
      <xdr:colOff>381000</xdr:colOff>
      <xdr:row>317</xdr:row>
      <xdr:rowOff>66675</xdr:rowOff>
    </xdr:to>
    <xdr:pic>
      <xdr:nvPicPr>
        <xdr:cNvPr id="5" name="image"/>
        <xdr:cNvPicPr preferRelativeResize="1">
          <a:picLocks noChangeAspect="1"/>
        </xdr:cNvPicPr>
      </xdr:nvPicPr>
      <xdr:blipFill>
        <a:blip r:embed="rId4"/>
        <a:stretch>
          <a:fillRect/>
        </a:stretch>
      </xdr:blipFill>
      <xdr:spPr bwMode="auto">
        <a:xfrm>
          <a:off x="7715250" y="61588650"/>
          <a:ext cx="5962650" cy="3848100"/>
        </a:xfrm>
        <a:prstGeom prst="rect">
          <a:avLst/>
        </a:prstGeom>
        <a:noFill/>
        <a:ln>
          <a:noFill/>
        </a:ln>
      </xdr:spPr>
    </xdr:pic>
    <xdr:clientData/>
  </xdr:twoCellAnchor>
  <xdr:twoCellAnchor editAs="oneCell">
    <xdr:from>
      <xdr:col>8</xdr:col>
      <xdr:colOff>104775</xdr:colOff>
      <xdr:row>318</xdr:row>
      <xdr:rowOff>123825</xdr:rowOff>
    </xdr:from>
    <xdr:to>
      <xdr:col>20</xdr:col>
      <xdr:colOff>295275</xdr:colOff>
      <xdr:row>355</xdr:row>
      <xdr:rowOff>114300</xdr:rowOff>
    </xdr:to>
    <xdr:pic>
      <xdr:nvPicPr>
        <xdr:cNvPr id="6" name="fullResImage"/>
        <xdr:cNvPicPr preferRelativeResize="1">
          <a:picLocks noChangeAspect="1"/>
        </xdr:cNvPicPr>
      </xdr:nvPicPr>
      <xdr:blipFill>
        <a:blip r:embed="rId5"/>
        <a:stretch>
          <a:fillRect/>
        </a:stretch>
      </xdr:blipFill>
      <xdr:spPr bwMode="auto">
        <a:xfrm>
          <a:off x="7762875" y="65655825"/>
          <a:ext cx="8115300" cy="5981700"/>
        </a:xfrm>
        <a:prstGeom prst="rect">
          <a:avLst/>
        </a:prstGeom>
        <a:noFill/>
        <a:ln>
          <a:noFill/>
        </a:ln>
      </xdr:spPr>
    </xdr:pic>
    <xdr:clientData/>
  </xdr:twoCellAnchor>
  <xdr:oneCellAnchor>
    <xdr:from>
      <xdr:col>0</xdr:col>
      <xdr:colOff>0</xdr:colOff>
      <xdr:row>316</xdr:row>
      <xdr:rowOff>0</xdr:rowOff>
    </xdr:from>
    <xdr:ext cx="304800" cy="304800"/>
    <xdr:sp>
      <xdr:nvSpPr>
        <xdr:cNvPr id="7" name="AutoShape 3"/>
        <xdr:cNvSpPr>
          <a:spLocks noChangeArrowheads="1" noChangeAspect="1"/>
        </xdr:cNvSpPr>
      </xdr:nvSpPr>
      <xdr:spPr bwMode="auto">
        <a:xfrm>
          <a:off x="0" y="65208150"/>
          <a:ext cx="304800" cy="304800"/>
        </a:xfrm>
        <a:prstGeom prst="rect">
          <a:avLst/>
        </a:prstGeom>
        <a:noFill/>
        <a:ln>
          <a:noFill/>
        </a:ln>
      </xdr:spPr>
    </xdr:sp>
    <xdr:clientData/>
  </xdr:oneCellAnchor>
  <xdr:oneCellAnchor>
    <xdr:from>
      <xdr:col>0</xdr:col>
      <xdr:colOff>0</xdr:colOff>
      <xdr:row>316</xdr:row>
      <xdr:rowOff>0</xdr:rowOff>
    </xdr:from>
    <xdr:ext cx="304800" cy="304800"/>
    <xdr:sp>
      <xdr:nvSpPr>
        <xdr:cNvPr id="8" name="AutoShape 4"/>
        <xdr:cNvSpPr>
          <a:spLocks noChangeArrowheads="1" noChangeAspect="1"/>
        </xdr:cNvSpPr>
      </xdr:nvSpPr>
      <xdr:spPr bwMode="auto">
        <a:xfrm>
          <a:off x="0" y="65208150"/>
          <a:ext cx="304800" cy="304800"/>
        </a:xfrm>
        <a:prstGeom prst="rect">
          <a:avLst/>
        </a:prstGeom>
        <a:noFill/>
        <a:ln>
          <a:noFill/>
        </a:ln>
      </xdr:spPr>
    </xdr:sp>
    <xdr:clientData/>
  </xdr:oneCellAnchor>
  <xdr:oneCellAnchor>
    <xdr:from>
      <xdr:col>2</xdr:col>
      <xdr:colOff>0</xdr:colOff>
      <xdr:row>423</xdr:row>
      <xdr:rowOff>0</xdr:rowOff>
    </xdr:from>
    <xdr:ext cx="304800" cy="304800"/>
    <xdr:sp>
      <xdr:nvSpPr>
        <xdr:cNvPr id="9" name="AutoShape 6"/>
        <xdr:cNvSpPr>
          <a:spLocks noChangeArrowheads="1" noChangeAspect="1"/>
        </xdr:cNvSpPr>
      </xdr:nvSpPr>
      <xdr:spPr bwMode="auto">
        <a:xfrm>
          <a:off x="3829050" y="84286725"/>
          <a:ext cx="304800" cy="304800"/>
        </a:xfrm>
        <a:prstGeom prst="rect">
          <a:avLst/>
        </a:prstGeom>
        <a:noFill/>
        <a:ln>
          <a:noFill/>
        </a:ln>
      </xdr:spPr>
    </xdr:sp>
    <xdr:clientData/>
  </xdr:oneCellAnchor>
  <xdr:twoCellAnchor editAs="oneCell">
    <xdr:from>
      <xdr:col>2</xdr:col>
      <xdr:colOff>0</xdr:colOff>
      <xdr:row>423</xdr:row>
      <xdr:rowOff>0</xdr:rowOff>
    </xdr:from>
    <xdr:to>
      <xdr:col>9</xdr:col>
      <xdr:colOff>0</xdr:colOff>
      <xdr:row>440</xdr:row>
      <xdr:rowOff>133350</xdr:rowOff>
    </xdr:to>
    <xdr:pic>
      <xdr:nvPicPr>
        <xdr:cNvPr id="10" name="Image 9"/>
        <xdr:cNvPicPr preferRelativeResize="1">
          <a:picLocks noChangeAspect="1"/>
        </xdr:cNvPicPr>
      </xdr:nvPicPr>
      <xdr:blipFill>
        <a:blip r:embed="rId6"/>
        <a:stretch>
          <a:fillRect/>
        </a:stretch>
      </xdr:blipFill>
      <xdr:spPr bwMode="auto">
        <a:xfrm>
          <a:off x="3829050" y="84286725"/>
          <a:ext cx="4533900" cy="2914650"/>
        </a:xfrm>
        <a:prstGeom prst="rect">
          <a:avLst/>
        </a:prstGeom>
        <a:ln>
          <a:noFill/>
        </a:ln>
      </xdr:spPr>
    </xdr:pic>
    <xdr:clientData/>
  </xdr:twoCellAnchor>
  <xdr:twoCellAnchor editAs="oneCell">
    <xdr:from>
      <xdr:col>2</xdr:col>
      <xdr:colOff>0</xdr:colOff>
      <xdr:row>447</xdr:row>
      <xdr:rowOff>0</xdr:rowOff>
    </xdr:from>
    <xdr:to>
      <xdr:col>9</xdr:col>
      <xdr:colOff>9525</xdr:colOff>
      <xdr:row>461</xdr:row>
      <xdr:rowOff>152400</xdr:rowOff>
    </xdr:to>
    <xdr:pic>
      <xdr:nvPicPr>
        <xdr:cNvPr id="11" name="Image 10"/>
        <xdr:cNvPicPr preferRelativeResize="1">
          <a:picLocks noChangeAspect="1"/>
        </xdr:cNvPicPr>
      </xdr:nvPicPr>
      <xdr:blipFill>
        <a:blip r:embed="rId7"/>
        <a:stretch>
          <a:fillRect/>
        </a:stretch>
      </xdr:blipFill>
      <xdr:spPr bwMode="auto">
        <a:xfrm>
          <a:off x="3829050" y="88401525"/>
          <a:ext cx="4543425" cy="2447925"/>
        </a:xfrm>
        <a:prstGeom prst="rect">
          <a:avLst/>
        </a:prstGeom>
        <a:ln>
          <a:noFill/>
        </a:ln>
      </xdr:spPr>
    </xdr:pic>
    <xdr:clientData/>
  </xdr:twoCellAnchor>
  <xdr:twoCellAnchor editAs="oneCell">
    <xdr:from>
      <xdr:col>2</xdr:col>
      <xdr:colOff>0</xdr:colOff>
      <xdr:row>468</xdr:row>
      <xdr:rowOff>0</xdr:rowOff>
    </xdr:from>
    <xdr:to>
      <xdr:col>9</xdr:col>
      <xdr:colOff>0</xdr:colOff>
      <xdr:row>503</xdr:row>
      <xdr:rowOff>133350</xdr:rowOff>
    </xdr:to>
    <xdr:pic>
      <xdr:nvPicPr>
        <xdr:cNvPr id="12" name="Image 11"/>
        <xdr:cNvPicPr preferRelativeResize="1">
          <a:picLocks noChangeAspect="1"/>
        </xdr:cNvPicPr>
      </xdr:nvPicPr>
      <xdr:blipFill>
        <a:blip r:embed="rId8"/>
        <a:stretch>
          <a:fillRect/>
        </a:stretch>
      </xdr:blipFill>
      <xdr:spPr bwMode="auto">
        <a:xfrm>
          <a:off x="3829050" y="92030550"/>
          <a:ext cx="4533900" cy="58293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704850</xdr:colOff>
      <xdr:row>212</xdr:row>
      <xdr:rowOff>152400</xdr:rowOff>
    </xdr:from>
    <xdr:to>
      <xdr:col>22</xdr:col>
      <xdr:colOff>190500</xdr:colOff>
      <xdr:row>232</xdr:row>
      <xdr:rowOff>95250</xdr:rowOff>
    </xdr:to>
    <xdr:pic>
      <xdr:nvPicPr>
        <xdr:cNvPr id="2" name="Image 1"/>
        <xdr:cNvPicPr preferRelativeResize="1">
          <a:picLocks noChangeAspect="1"/>
        </xdr:cNvPicPr>
      </xdr:nvPicPr>
      <xdr:blipFill>
        <a:blip r:embed="rId1"/>
        <a:stretch>
          <a:fillRect/>
        </a:stretch>
      </xdr:blipFill>
      <xdr:spPr bwMode="auto">
        <a:xfrm>
          <a:off x="12592050" y="45624750"/>
          <a:ext cx="4324350" cy="3209925"/>
        </a:xfrm>
        <a:prstGeom prst="rect">
          <a:avLst/>
        </a:prstGeom>
        <a:noFill/>
        <a:ln>
          <a:noFill/>
        </a:ln>
      </xdr:spPr>
    </xdr:pic>
    <xdr:clientData/>
  </xdr:twoCellAnchor>
  <xdr:twoCellAnchor editAs="oneCell">
    <xdr:from>
      <xdr:col>11</xdr:col>
      <xdr:colOff>590550</xdr:colOff>
      <xdr:row>226</xdr:row>
      <xdr:rowOff>19050</xdr:rowOff>
    </xdr:from>
    <xdr:to>
      <xdr:col>25</xdr:col>
      <xdr:colOff>876300</xdr:colOff>
      <xdr:row>235</xdr:row>
      <xdr:rowOff>28575</xdr:rowOff>
    </xdr:to>
    <xdr:pic>
      <xdr:nvPicPr>
        <xdr:cNvPr id="3" name="Image 2"/>
        <xdr:cNvPicPr preferRelativeResize="1">
          <a:picLocks noChangeAspect="1"/>
        </xdr:cNvPicPr>
      </xdr:nvPicPr>
      <xdr:blipFill>
        <a:blip r:embed="rId2"/>
        <a:stretch>
          <a:fillRect/>
        </a:stretch>
      </xdr:blipFill>
      <xdr:spPr bwMode="auto">
        <a:xfrm>
          <a:off x="10363200" y="47786925"/>
          <a:ext cx="10134600" cy="1466850"/>
        </a:xfrm>
        <a:prstGeom prst="rect">
          <a:avLst/>
        </a:prstGeom>
        <a:noFill/>
        <a:ln>
          <a:noFill/>
        </a:ln>
      </xdr:spPr>
    </xdr:pic>
    <xdr:clientData/>
  </xdr:twoCellAnchor>
  <xdr:twoCellAnchor editAs="oneCell">
    <xdr:from>
      <xdr:col>11</xdr:col>
      <xdr:colOff>400050</xdr:colOff>
      <xdr:row>235</xdr:row>
      <xdr:rowOff>123825</xdr:rowOff>
    </xdr:from>
    <xdr:to>
      <xdr:col>22</xdr:col>
      <xdr:colOff>0</xdr:colOff>
      <xdr:row>263</xdr:row>
      <xdr:rowOff>47625</xdr:rowOff>
    </xdr:to>
    <xdr:pic>
      <xdr:nvPicPr>
        <xdr:cNvPr id="4" name="Image 3"/>
        <xdr:cNvPicPr preferRelativeResize="1">
          <a:picLocks noChangeAspect="1"/>
        </xdr:cNvPicPr>
      </xdr:nvPicPr>
      <xdr:blipFill>
        <a:blip r:embed="rId3"/>
        <a:stretch>
          <a:fillRect/>
        </a:stretch>
      </xdr:blipFill>
      <xdr:spPr bwMode="auto">
        <a:xfrm>
          <a:off x="10172700" y="49349025"/>
          <a:ext cx="6553200" cy="5105400"/>
        </a:xfrm>
        <a:prstGeom prst="rect">
          <a:avLst/>
        </a:prstGeom>
        <a:noFill/>
        <a:ln>
          <a:noFill/>
        </a:ln>
      </xdr:spPr>
    </xdr:pic>
    <xdr:clientData/>
  </xdr:twoCellAnchor>
  <xdr:twoCellAnchor editAs="oneCell">
    <xdr:from>
      <xdr:col>8</xdr:col>
      <xdr:colOff>57150</xdr:colOff>
      <xdr:row>293</xdr:row>
      <xdr:rowOff>104775</xdr:rowOff>
    </xdr:from>
    <xdr:to>
      <xdr:col>16</xdr:col>
      <xdr:colOff>381000</xdr:colOff>
      <xdr:row>317</xdr:row>
      <xdr:rowOff>66675</xdr:rowOff>
    </xdr:to>
    <xdr:pic>
      <xdr:nvPicPr>
        <xdr:cNvPr id="5" name="image"/>
        <xdr:cNvPicPr preferRelativeResize="1">
          <a:picLocks noChangeAspect="1"/>
        </xdr:cNvPicPr>
      </xdr:nvPicPr>
      <xdr:blipFill>
        <a:blip r:embed="rId4"/>
        <a:stretch>
          <a:fillRect/>
        </a:stretch>
      </xdr:blipFill>
      <xdr:spPr bwMode="auto">
        <a:xfrm>
          <a:off x="7715250" y="61598175"/>
          <a:ext cx="5962650" cy="3848100"/>
        </a:xfrm>
        <a:prstGeom prst="rect">
          <a:avLst/>
        </a:prstGeom>
        <a:noFill/>
        <a:ln>
          <a:noFill/>
        </a:ln>
      </xdr:spPr>
    </xdr:pic>
    <xdr:clientData/>
  </xdr:twoCellAnchor>
  <xdr:twoCellAnchor editAs="oneCell">
    <xdr:from>
      <xdr:col>8</xdr:col>
      <xdr:colOff>104775</xdr:colOff>
      <xdr:row>318</xdr:row>
      <xdr:rowOff>123825</xdr:rowOff>
    </xdr:from>
    <xdr:to>
      <xdr:col>20</xdr:col>
      <xdr:colOff>295275</xdr:colOff>
      <xdr:row>355</xdr:row>
      <xdr:rowOff>114300</xdr:rowOff>
    </xdr:to>
    <xdr:pic>
      <xdr:nvPicPr>
        <xdr:cNvPr id="6" name="fullResImage"/>
        <xdr:cNvPicPr preferRelativeResize="1">
          <a:picLocks noChangeAspect="1"/>
        </xdr:cNvPicPr>
      </xdr:nvPicPr>
      <xdr:blipFill>
        <a:blip r:embed="rId5"/>
        <a:stretch>
          <a:fillRect/>
        </a:stretch>
      </xdr:blipFill>
      <xdr:spPr bwMode="auto">
        <a:xfrm>
          <a:off x="7762875" y="65665350"/>
          <a:ext cx="8115300" cy="5981700"/>
        </a:xfrm>
        <a:prstGeom prst="rect">
          <a:avLst/>
        </a:prstGeom>
        <a:noFill/>
        <a:ln>
          <a:noFill/>
        </a:ln>
      </xdr:spPr>
    </xdr:pic>
    <xdr:clientData/>
  </xdr:twoCellAnchor>
  <xdr:oneCellAnchor>
    <xdr:from>
      <xdr:col>0</xdr:col>
      <xdr:colOff>0</xdr:colOff>
      <xdr:row>316</xdr:row>
      <xdr:rowOff>0</xdr:rowOff>
    </xdr:from>
    <xdr:ext cx="304800" cy="304800"/>
    <xdr:sp>
      <xdr:nvSpPr>
        <xdr:cNvPr id="7" name="AutoShape 3"/>
        <xdr:cNvSpPr>
          <a:spLocks noChangeArrowheads="1" noChangeAspect="1"/>
        </xdr:cNvSpPr>
      </xdr:nvSpPr>
      <xdr:spPr bwMode="auto">
        <a:xfrm>
          <a:off x="0" y="65217675"/>
          <a:ext cx="304800" cy="304800"/>
        </a:xfrm>
        <a:prstGeom prst="rect">
          <a:avLst/>
        </a:prstGeom>
        <a:noFill/>
        <a:ln>
          <a:noFill/>
        </a:ln>
      </xdr:spPr>
    </xdr:sp>
    <xdr:clientData/>
  </xdr:oneCellAnchor>
  <xdr:oneCellAnchor>
    <xdr:from>
      <xdr:col>0</xdr:col>
      <xdr:colOff>0</xdr:colOff>
      <xdr:row>316</xdr:row>
      <xdr:rowOff>0</xdr:rowOff>
    </xdr:from>
    <xdr:ext cx="304800" cy="304800"/>
    <xdr:sp>
      <xdr:nvSpPr>
        <xdr:cNvPr id="8" name="AutoShape 4"/>
        <xdr:cNvSpPr>
          <a:spLocks noChangeArrowheads="1" noChangeAspect="1"/>
        </xdr:cNvSpPr>
      </xdr:nvSpPr>
      <xdr:spPr bwMode="auto">
        <a:xfrm>
          <a:off x="0" y="65217675"/>
          <a:ext cx="304800" cy="304800"/>
        </a:xfrm>
        <a:prstGeom prst="rect">
          <a:avLst/>
        </a:prstGeom>
        <a:noFill/>
        <a:ln>
          <a:noFill/>
        </a:ln>
      </xdr:spPr>
    </xdr:sp>
    <xdr:clientData/>
  </xdr:oneCellAnchor>
  <xdr:oneCellAnchor>
    <xdr:from>
      <xdr:col>2</xdr:col>
      <xdr:colOff>0</xdr:colOff>
      <xdr:row>423</xdr:row>
      <xdr:rowOff>0</xdr:rowOff>
    </xdr:from>
    <xdr:ext cx="304800" cy="304800"/>
    <xdr:sp>
      <xdr:nvSpPr>
        <xdr:cNvPr id="9" name="AutoShape 6"/>
        <xdr:cNvSpPr>
          <a:spLocks noChangeArrowheads="1" noChangeAspect="1"/>
        </xdr:cNvSpPr>
      </xdr:nvSpPr>
      <xdr:spPr bwMode="auto">
        <a:xfrm>
          <a:off x="3829050" y="84296250"/>
          <a:ext cx="304800" cy="304800"/>
        </a:xfrm>
        <a:prstGeom prst="rect">
          <a:avLst/>
        </a:prstGeom>
        <a:noFill/>
        <a:ln>
          <a:noFill/>
        </a:ln>
      </xdr:spPr>
    </xdr:sp>
    <xdr:clientData/>
  </xdr:oneCellAnchor>
  <xdr:twoCellAnchor editAs="oneCell">
    <xdr:from>
      <xdr:col>2</xdr:col>
      <xdr:colOff>0</xdr:colOff>
      <xdr:row>423</xdr:row>
      <xdr:rowOff>0</xdr:rowOff>
    </xdr:from>
    <xdr:to>
      <xdr:col>9</xdr:col>
      <xdr:colOff>0</xdr:colOff>
      <xdr:row>440</xdr:row>
      <xdr:rowOff>133350</xdr:rowOff>
    </xdr:to>
    <xdr:pic>
      <xdr:nvPicPr>
        <xdr:cNvPr id="10" name="Image 9"/>
        <xdr:cNvPicPr preferRelativeResize="1">
          <a:picLocks noChangeAspect="1"/>
        </xdr:cNvPicPr>
      </xdr:nvPicPr>
      <xdr:blipFill>
        <a:blip r:embed="rId6"/>
        <a:stretch>
          <a:fillRect/>
        </a:stretch>
      </xdr:blipFill>
      <xdr:spPr bwMode="auto">
        <a:xfrm>
          <a:off x="3829050" y="84296250"/>
          <a:ext cx="4533900" cy="2914650"/>
        </a:xfrm>
        <a:prstGeom prst="rect">
          <a:avLst/>
        </a:prstGeom>
        <a:ln>
          <a:noFill/>
        </a:ln>
      </xdr:spPr>
    </xdr:pic>
    <xdr:clientData/>
  </xdr:twoCellAnchor>
  <xdr:twoCellAnchor editAs="oneCell">
    <xdr:from>
      <xdr:col>2</xdr:col>
      <xdr:colOff>0</xdr:colOff>
      <xdr:row>447</xdr:row>
      <xdr:rowOff>0</xdr:rowOff>
    </xdr:from>
    <xdr:to>
      <xdr:col>9</xdr:col>
      <xdr:colOff>9525</xdr:colOff>
      <xdr:row>461</xdr:row>
      <xdr:rowOff>152400</xdr:rowOff>
    </xdr:to>
    <xdr:pic>
      <xdr:nvPicPr>
        <xdr:cNvPr id="11" name="Image 10"/>
        <xdr:cNvPicPr preferRelativeResize="1">
          <a:picLocks noChangeAspect="1"/>
        </xdr:cNvPicPr>
      </xdr:nvPicPr>
      <xdr:blipFill>
        <a:blip r:embed="rId7"/>
        <a:stretch>
          <a:fillRect/>
        </a:stretch>
      </xdr:blipFill>
      <xdr:spPr bwMode="auto">
        <a:xfrm>
          <a:off x="3829050" y="88411050"/>
          <a:ext cx="4543425" cy="2447925"/>
        </a:xfrm>
        <a:prstGeom prst="rect">
          <a:avLst/>
        </a:prstGeom>
        <a:ln>
          <a:noFill/>
        </a:ln>
      </xdr:spPr>
    </xdr:pic>
    <xdr:clientData/>
  </xdr:twoCellAnchor>
  <xdr:twoCellAnchor editAs="oneCell">
    <xdr:from>
      <xdr:col>2</xdr:col>
      <xdr:colOff>0</xdr:colOff>
      <xdr:row>468</xdr:row>
      <xdr:rowOff>0</xdr:rowOff>
    </xdr:from>
    <xdr:to>
      <xdr:col>9</xdr:col>
      <xdr:colOff>0</xdr:colOff>
      <xdr:row>503</xdr:row>
      <xdr:rowOff>133350</xdr:rowOff>
    </xdr:to>
    <xdr:pic>
      <xdr:nvPicPr>
        <xdr:cNvPr id="12" name="Image 11"/>
        <xdr:cNvPicPr preferRelativeResize="1">
          <a:picLocks noChangeAspect="1"/>
        </xdr:cNvPicPr>
      </xdr:nvPicPr>
      <xdr:blipFill>
        <a:blip r:embed="rId8"/>
        <a:stretch>
          <a:fillRect/>
        </a:stretch>
      </xdr:blipFill>
      <xdr:spPr bwMode="auto">
        <a:xfrm>
          <a:off x="3829050" y="92040075"/>
          <a:ext cx="4533900" cy="58293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78</xdr:row>
      <xdr:rowOff>19050</xdr:rowOff>
    </xdr:from>
    <xdr:to>
      <xdr:col>9</xdr:col>
      <xdr:colOff>266700</xdr:colOff>
      <xdr:row>99</xdr:row>
      <xdr:rowOff>19050</xdr:rowOff>
    </xdr:to>
    <xdr:graphicFrame>
      <xdr:nvGraphicFramePr>
        <xdr:cNvPr id="3" name="Graphique 2"/>
        <xdr:cNvGraphicFramePr/>
      </xdr:nvGraphicFramePr>
      <xdr:xfrm>
        <a:off x="1504950" y="13392150"/>
        <a:ext cx="8810625" cy="400050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34</xdr:row>
      <xdr:rowOff>66675</xdr:rowOff>
    </xdr:from>
    <xdr:to>
      <xdr:col>20</xdr:col>
      <xdr:colOff>400050</xdr:colOff>
      <xdr:row>55</xdr:row>
      <xdr:rowOff>123825</xdr:rowOff>
    </xdr:to>
    <xdr:graphicFrame>
      <xdr:nvGraphicFramePr>
        <xdr:cNvPr id="4" name="Graphique 3"/>
        <xdr:cNvGraphicFramePr/>
      </xdr:nvGraphicFramePr>
      <xdr:xfrm>
        <a:off x="10877550" y="5057775"/>
        <a:ext cx="7953375" cy="4057650"/>
      </xdr:xfrm>
      <a:graphic>
        <a:graphicData uri="http://schemas.openxmlformats.org/drawingml/2006/chart">
          <c:chart xmlns:c="http://schemas.openxmlformats.org/drawingml/2006/chart" r:id="rId2"/>
        </a:graphicData>
      </a:graphic>
    </xdr:graphicFrame>
    <xdr:clientData/>
  </xdr:twoCellAnchor>
  <xdr:twoCellAnchor>
    <xdr:from>
      <xdr:col>10</xdr:col>
      <xdr:colOff>19050</xdr:colOff>
      <xdr:row>78</xdr:row>
      <xdr:rowOff>9525</xdr:rowOff>
    </xdr:from>
    <xdr:to>
      <xdr:col>19</xdr:col>
      <xdr:colOff>676275</xdr:colOff>
      <xdr:row>99</xdr:row>
      <xdr:rowOff>19050</xdr:rowOff>
    </xdr:to>
    <xdr:graphicFrame>
      <xdr:nvGraphicFramePr>
        <xdr:cNvPr id="5" name="Graphique 4"/>
        <xdr:cNvGraphicFramePr/>
      </xdr:nvGraphicFramePr>
      <xdr:xfrm>
        <a:off x="10829925" y="13382625"/>
        <a:ext cx="7515225" cy="4010025"/>
      </xdr:xfrm>
      <a:graphic>
        <a:graphicData uri="http://schemas.openxmlformats.org/drawingml/2006/chart">
          <c:chart xmlns:c="http://schemas.openxmlformats.org/drawingml/2006/chart" r:id="rId3"/>
        </a:graphicData>
      </a:graphic>
    </xdr:graphicFrame>
    <xdr:clientData/>
  </xdr:twoCellAnchor>
  <xdr:twoCellAnchor>
    <xdr:from>
      <xdr:col>20</xdr:col>
      <xdr:colOff>485775</xdr:colOff>
      <xdr:row>46</xdr:row>
      <xdr:rowOff>114300</xdr:rowOff>
    </xdr:from>
    <xdr:to>
      <xdr:col>28</xdr:col>
      <xdr:colOff>304800</xdr:colOff>
      <xdr:row>67</xdr:row>
      <xdr:rowOff>66675</xdr:rowOff>
    </xdr:to>
    <xdr:graphicFrame>
      <xdr:nvGraphicFramePr>
        <xdr:cNvPr id="6" name="Graphique 5"/>
        <xdr:cNvGraphicFramePr/>
      </xdr:nvGraphicFramePr>
      <xdr:xfrm>
        <a:off x="18916650" y="7391400"/>
        <a:ext cx="6715125" cy="3952875"/>
      </xdr:xfrm>
      <a:graphic>
        <a:graphicData uri="http://schemas.openxmlformats.org/drawingml/2006/chart">
          <c:chart xmlns:c="http://schemas.openxmlformats.org/drawingml/2006/chart" r:id="rId4"/>
        </a:graphicData>
      </a:graphic>
    </xdr:graphicFrame>
    <xdr:clientData/>
  </xdr:twoCellAnchor>
  <xdr:twoCellAnchor>
    <xdr:from>
      <xdr:col>29</xdr:col>
      <xdr:colOff>76200</xdr:colOff>
      <xdr:row>45</xdr:row>
      <xdr:rowOff>161925</xdr:rowOff>
    </xdr:from>
    <xdr:to>
      <xdr:col>36</xdr:col>
      <xdr:colOff>514350</xdr:colOff>
      <xdr:row>66</xdr:row>
      <xdr:rowOff>133350</xdr:rowOff>
    </xdr:to>
    <xdr:graphicFrame>
      <xdr:nvGraphicFramePr>
        <xdr:cNvPr id="7" name="Graphique 6"/>
        <xdr:cNvGraphicFramePr/>
      </xdr:nvGraphicFramePr>
      <xdr:xfrm>
        <a:off x="26165175" y="7248525"/>
        <a:ext cx="5772150" cy="3971925"/>
      </xdr:xfrm>
      <a:graphic>
        <a:graphicData uri="http://schemas.openxmlformats.org/drawingml/2006/chart">
          <c:chart xmlns:c="http://schemas.openxmlformats.org/drawingml/2006/chart" r:id="rId5"/>
        </a:graphicData>
      </a:graphic>
    </xdr:graphicFrame>
    <xdr:clientData/>
  </xdr:twoCellAnchor>
  <xdr:twoCellAnchor>
    <xdr:from>
      <xdr:col>28</xdr:col>
      <xdr:colOff>542925</xdr:colOff>
      <xdr:row>18</xdr:row>
      <xdr:rowOff>57150</xdr:rowOff>
    </xdr:from>
    <xdr:to>
      <xdr:col>37</xdr:col>
      <xdr:colOff>19050</xdr:colOff>
      <xdr:row>45</xdr:row>
      <xdr:rowOff>0</xdr:rowOff>
    </xdr:to>
    <xdr:graphicFrame>
      <xdr:nvGraphicFramePr>
        <xdr:cNvPr id="8" name="Graphique 7"/>
        <xdr:cNvGraphicFramePr/>
      </xdr:nvGraphicFramePr>
      <xdr:xfrm>
        <a:off x="25869900" y="3333750"/>
        <a:ext cx="6334125" cy="3752850"/>
      </xdr:xfrm>
      <a:graphic>
        <a:graphicData uri="http://schemas.openxmlformats.org/drawingml/2006/chart">
          <c:chart xmlns:c="http://schemas.openxmlformats.org/drawingml/2006/chart" r:id="rId6"/>
        </a:graphicData>
      </a:graphic>
    </xdr:graphicFrame>
    <xdr:clientData/>
  </xdr:twoCellAnchor>
  <xdr:twoCellAnchor>
    <xdr:from>
      <xdr:col>20</xdr:col>
      <xdr:colOff>685800</xdr:colOff>
      <xdr:row>17</xdr:row>
      <xdr:rowOff>114300</xdr:rowOff>
    </xdr:from>
    <xdr:to>
      <xdr:col>27</xdr:col>
      <xdr:colOff>542925</xdr:colOff>
      <xdr:row>45</xdr:row>
      <xdr:rowOff>85725</xdr:rowOff>
    </xdr:to>
    <xdr:graphicFrame>
      <xdr:nvGraphicFramePr>
        <xdr:cNvPr id="9" name="Graphique 8"/>
        <xdr:cNvGraphicFramePr/>
      </xdr:nvGraphicFramePr>
      <xdr:xfrm>
        <a:off x="19116675" y="3200400"/>
        <a:ext cx="5991225" cy="3971925"/>
      </xdr:xfrm>
      <a:graphic>
        <a:graphicData uri="http://schemas.openxmlformats.org/drawingml/2006/chart">
          <c:chart xmlns:c="http://schemas.openxmlformats.org/drawingml/2006/chart" r:id="rId7"/>
        </a:graphicData>
      </a:graphic>
    </xdr:graphicFrame>
    <xdr:clientData/>
  </xdr:twoCellAnchor>
  <xdr:twoCellAnchor>
    <xdr:from>
      <xdr:col>38</xdr:col>
      <xdr:colOff>371475</xdr:colOff>
      <xdr:row>0</xdr:row>
      <xdr:rowOff>171450</xdr:rowOff>
    </xdr:from>
    <xdr:to>
      <xdr:col>45</xdr:col>
      <xdr:colOff>762000</xdr:colOff>
      <xdr:row>32</xdr:row>
      <xdr:rowOff>171450</xdr:rowOff>
    </xdr:to>
    <xdr:graphicFrame>
      <xdr:nvGraphicFramePr>
        <xdr:cNvPr id="10" name="Graphique 9"/>
        <xdr:cNvGraphicFramePr/>
      </xdr:nvGraphicFramePr>
      <xdr:xfrm>
        <a:off x="33318450" y="171450"/>
        <a:ext cx="5724525" cy="4610100"/>
      </xdr:xfrm>
      <a:graphic>
        <a:graphicData uri="http://schemas.openxmlformats.org/drawingml/2006/chart">
          <c:chart xmlns:c="http://schemas.openxmlformats.org/drawingml/2006/chart" r:id="rId8"/>
        </a:graphicData>
      </a:graphic>
    </xdr:graphicFrame>
    <xdr:clientData/>
  </xdr:twoCellAnchor>
  <xdr:twoCellAnchor>
    <xdr:from>
      <xdr:col>1</xdr:col>
      <xdr:colOff>1257300</xdr:colOff>
      <xdr:row>34</xdr:row>
      <xdr:rowOff>9525</xdr:rowOff>
    </xdr:from>
    <xdr:to>
      <xdr:col>8</xdr:col>
      <xdr:colOff>495300</xdr:colOff>
      <xdr:row>55</xdr:row>
      <xdr:rowOff>66675</xdr:rowOff>
    </xdr:to>
    <xdr:graphicFrame>
      <xdr:nvGraphicFramePr>
        <xdr:cNvPr id="11" name="Graphique 10"/>
        <xdr:cNvGraphicFramePr/>
      </xdr:nvGraphicFramePr>
      <xdr:xfrm>
        <a:off x="2019300" y="5000625"/>
        <a:ext cx="7762875" cy="4057650"/>
      </xdr:xfrm>
      <a:graphic>
        <a:graphicData uri="http://schemas.openxmlformats.org/drawingml/2006/chart">
          <c:chart xmlns:c="http://schemas.openxmlformats.org/drawingml/2006/chart" r:id="rId9"/>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885825</xdr:colOff>
      <xdr:row>212</xdr:row>
      <xdr:rowOff>152400</xdr:rowOff>
    </xdr:from>
    <xdr:to>
      <xdr:col>18</xdr:col>
      <xdr:colOff>19050</xdr:colOff>
      <xdr:row>232</xdr:row>
      <xdr:rowOff>95250</xdr:rowOff>
    </xdr:to>
    <xdr:pic>
      <xdr:nvPicPr>
        <xdr:cNvPr id="2" name="Image 1"/>
        <xdr:cNvPicPr preferRelativeResize="1">
          <a:picLocks noChangeAspect="1"/>
        </xdr:cNvPicPr>
      </xdr:nvPicPr>
      <xdr:blipFill>
        <a:blip r:embed="rId1"/>
        <a:stretch>
          <a:fillRect/>
        </a:stretch>
      </xdr:blipFill>
      <xdr:spPr bwMode="auto">
        <a:xfrm>
          <a:off x="15011400" y="44186475"/>
          <a:ext cx="4229100" cy="3209925"/>
        </a:xfrm>
        <a:prstGeom prst="rect">
          <a:avLst/>
        </a:prstGeom>
        <a:noFill/>
        <a:ln>
          <a:noFill/>
        </a:ln>
      </xdr:spPr>
    </xdr:pic>
    <xdr:clientData/>
  </xdr:twoCellAnchor>
  <xdr:twoCellAnchor editAs="oneCell">
    <xdr:from>
      <xdr:col>9</xdr:col>
      <xdr:colOff>590550</xdr:colOff>
      <xdr:row>226</xdr:row>
      <xdr:rowOff>19050</xdr:rowOff>
    </xdr:from>
    <xdr:to>
      <xdr:col>20</xdr:col>
      <xdr:colOff>647700</xdr:colOff>
      <xdr:row>235</xdr:row>
      <xdr:rowOff>28575</xdr:rowOff>
    </xdr:to>
    <xdr:pic>
      <xdr:nvPicPr>
        <xdr:cNvPr id="3" name="Image 2"/>
        <xdr:cNvPicPr preferRelativeResize="1">
          <a:picLocks noChangeAspect="1"/>
        </xdr:cNvPicPr>
      </xdr:nvPicPr>
      <xdr:blipFill>
        <a:blip r:embed="rId2"/>
        <a:stretch>
          <a:fillRect/>
        </a:stretch>
      </xdr:blipFill>
      <xdr:spPr bwMode="auto">
        <a:xfrm>
          <a:off x="11801475" y="46348650"/>
          <a:ext cx="10125075" cy="1466850"/>
        </a:xfrm>
        <a:prstGeom prst="rect">
          <a:avLst/>
        </a:prstGeom>
        <a:noFill/>
        <a:ln>
          <a:noFill/>
        </a:ln>
      </xdr:spPr>
    </xdr:pic>
    <xdr:clientData/>
  </xdr:twoCellAnchor>
  <xdr:twoCellAnchor editAs="oneCell">
    <xdr:from>
      <xdr:col>9</xdr:col>
      <xdr:colOff>400050</xdr:colOff>
      <xdr:row>235</xdr:row>
      <xdr:rowOff>123825</xdr:rowOff>
    </xdr:from>
    <xdr:to>
      <xdr:col>17</xdr:col>
      <xdr:colOff>0</xdr:colOff>
      <xdr:row>263</xdr:row>
      <xdr:rowOff>47625</xdr:rowOff>
    </xdr:to>
    <xdr:pic>
      <xdr:nvPicPr>
        <xdr:cNvPr id="4" name="Image 3"/>
        <xdr:cNvPicPr preferRelativeResize="1">
          <a:picLocks noChangeAspect="1"/>
        </xdr:cNvPicPr>
      </xdr:nvPicPr>
      <xdr:blipFill>
        <a:blip r:embed="rId3"/>
        <a:stretch>
          <a:fillRect/>
        </a:stretch>
      </xdr:blipFill>
      <xdr:spPr bwMode="auto">
        <a:xfrm>
          <a:off x="11610975" y="47910750"/>
          <a:ext cx="6524625" cy="5105400"/>
        </a:xfrm>
        <a:prstGeom prst="rect">
          <a:avLst/>
        </a:prstGeom>
        <a:noFill/>
        <a:ln>
          <a:noFill/>
        </a:ln>
      </xdr:spPr>
    </xdr:pic>
    <xdr:clientData/>
  </xdr:twoCellAnchor>
  <xdr:twoCellAnchor editAs="oneCell">
    <xdr:from>
      <xdr:col>6</xdr:col>
      <xdr:colOff>57150</xdr:colOff>
      <xdr:row>293</xdr:row>
      <xdr:rowOff>104775</xdr:rowOff>
    </xdr:from>
    <xdr:to>
      <xdr:col>12</xdr:col>
      <xdr:colOff>0</xdr:colOff>
      <xdr:row>317</xdr:row>
      <xdr:rowOff>66675</xdr:rowOff>
    </xdr:to>
    <xdr:pic>
      <xdr:nvPicPr>
        <xdr:cNvPr id="5" name="image"/>
        <xdr:cNvPicPr preferRelativeResize="1">
          <a:picLocks noChangeAspect="1"/>
        </xdr:cNvPicPr>
      </xdr:nvPicPr>
      <xdr:blipFill>
        <a:blip r:embed="rId4"/>
        <a:stretch>
          <a:fillRect/>
        </a:stretch>
      </xdr:blipFill>
      <xdr:spPr bwMode="auto">
        <a:xfrm>
          <a:off x="8162925" y="59817000"/>
          <a:ext cx="5962650" cy="3848100"/>
        </a:xfrm>
        <a:prstGeom prst="rect">
          <a:avLst/>
        </a:prstGeom>
        <a:noFill/>
        <a:ln>
          <a:noFill/>
        </a:ln>
      </xdr:spPr>
    </xdr:pic>
    <xdr:clientData/>
  </xdr:twoCellAnchor>
  <xdr:twoCellAnchor editAs="oneCell">
    <xdr:from>
      <xdr:col>6</xdr:col>
      <xdr:colOff>104775</xdr:colOff>
      <xdr:row>318</xdr:row>
      <xdr:rowOff>123825</xdr:rowOff>
    </xdr:from>
    <xdr:to>
      <xdr:col>15</xdr:col>
      <xdr:colOff>0</xdr:colOff>
      <xdr:row>355</xdr:row>
      <xdr:rowOff>114300</xdr:rowOff>
    </xdr:to>
    <xdr:pic>
      <xdr:nvPicPr>
        <xdr:cNvPr id="6" name="fullResImage"/>
        <xdr:cNvPicPr preferRelativeResize="1">
          <a:picLocks noChangeAspect="1"/>
        </xdr:cNvPicPr>
      </xdr:nvPicPr>
      <xdr:blipFill>
        <a:blip r:embed="rId5"/>
        <a:stretch>
          <a:fillRect/>
        </a:stretch>
      </xdr:blipFill>
      <xdr:spPr bwMode="auto">
        <a:xfrm>
          <a:off x="8210550" y="63884175"/>
          <a:ext cx="8115300" cy="5981700"/>
        </a:xfrm>
        <a:prstGeom prst="rect">
          <a:avLst/>
        </a:prstGeom>
        <a:noFill/>
        <a:ln>
          <a:noFill/>
        </a:ln>
      </xdr:spPr>
    </xdr:pic>
    <xdr:clientData/>
  </xdr:twoCellAnchor>
  <xdr:oneCellAnchor>
    <xdr:from>
      <xdr:col>0</xdr:col>
      <xdr:colOff>0</xdr:colOff>
      <xdr:row>316</xdr:row>
      <xdr:rowOff>0</xdr:rowOff>
    </xdr:from>
    <xdr:ext cx="304800" cy="304800"/>
    <xdr:sp>
      <xdr:nvSpPr>
        <xdr:cNvPr id="7" name="AutoShape 3"/>
        <xdr:cNvSpPr>
          <a:spLocks noChangeArrowheads="1" noChangeAspect="1"/>
        </xdr:cNvSpPr>
      </xdr:nvSpPr>
      <xdr:spPr bwMode="auto">
        <a:xfrm>
          <a:off x="0" y="63436500"/>
          <a:ext cx="304800" cy="304800"/>
        </a:xfrm>
        <a:prstGeom prst="rect">
          <a:avLst/>
        </a:prstGeom>
        <a:noFill/>
        <a:ln>
          <a:noFill/>
        </a:ln>
      </xdr:spPr>
    </xdr:sp>
    <xdr:clientData/>
  </xdr:oneCellAnchor>
  <xdr:oneCellAnchor>
    <xdr:from>
      <xdr:col>0</xdr:col>
      <xdr:colOff>0</xdr:colOff>
      <xdr:row>316</xdr:row>
      <xdr:rowOff>0</xdr:rowOff>
    </xdr:from>
    <xdr:ext cx="304800" cy="304800"/>
    <xdr:sp>
      <xdr:nvSpPr>
        <xdr:cNvPr id="8" name="AutoShape 4"/>
        <xdr:cNvSpPr>
          <a:spLocks noChangeArrowheads="1" noChangeAspect="1"/>
        </xdr:cNvSpPr>
      </xdr:nvSpPr>
      <xdr:spPr bwMode="auto">
        <a:xfrm>
          <a:off x="0" y="63436500"/>
          <a:ext cx="304800" cy="304800"/>
        </a:xfrm>
        <a:prstGeom prst="rect">
          <a:avLst/>
        </a:prstGeom>
        <a:noFill/>
        <a:ln>
          <a:noFill/>
        </a:ln>
      </xdr:spPr>
    </xdr:sp>
    <xdr:clientData/>
  </xdr:oneCellAnchor>
  <xdr:oneCellAnchor>
    <xdr:from>
      <xdr:col>2</xdr:col>
      <xdr:colOff>0</xdr:colOff>
      <xdr:row>423</xdr:row>
      <xdr:rowOff>0</xdr:rowOff>
    </xdr:from>
    <xdr:ext cx="304800" cy="304800"/>
    <xdr:sp>
      <xdr:nvSpPr>
        <xdr:cNvPr id="9" name="AutoShape 6"/>
        <xdr:cNvSpPr>
          <a:spLocks noChangeArrowheads="1" noChangeAspect="1"/>
        </xdr:cNvSpPr>
      </xdr:nvSpPr>
      <xdr:spPr bwMode="auto">
        <a:xfrm>
          <a:off x="4162425" y="82515075"/>
          <a:ext cx="304800" cy="304800"/>
        </a:xfrm>
        <a:prstGeom prst="rect">
          <a:avLst/>
        </a:prstGeom>
        <a:noFill/>
        <a:ln>
          <a:noFill/>
        </a:ln>
      </xdr:spPr>
    </xdr:sp>
    <xdr:clientData/>
  </xdr:oneCellAnchor>
  <xdr:twoCellAnchor editAs="oneCell">
    <xdr:from>
      <xdr:col>2</xdr:col>
      <xdr:colOff>0</xdr:colOff>
      <xdr:row>423</xdr:row>
      <xdr:rowOff>0</xdr:rowOff>
    </xdr:from>
    <xdr:to>
      <xdr:col>6</xdr:col>
      <xdr:colOff>619125</xdr:colOff>
      <xdr:row>440</xdr:row>
      <xdr:rowOff>133350</xdr:rowOff>
    </xdr:to>
    <xdr:pic>
      <xdr:nvPicPr>
        <xdr:cNvPr id="10" name="Image 9"/>
        <xdr:cNvPicPr preferRelativeResize="1">
          <a:picLocks noChangeAspect="1"/>
        </xdr:cNvPicPr>
      </xdr:nvPicPr>
      <xdr:blipFill>
        <a:blip r:embed="rId6"/>
        <a:stretch>
          <a:fillRect/>
        </a:stretch>
      </xdr:blipFill>
      <xdr:spPr bwMode="auto">
        <a:xfrm>
          <a:off x="4162425" y="82515075"/>
          <a:ext cx="4562475" cy="2914650"/>
        </a:xfrm>
        <a:prstGeom prst="rect">
          <a:avLst/>
        </a:prstGeom>
        <a:ln>
          <a:noFill/>
        </a:ln>
      </xdr:spPr>
    </xdr:pic>
    <xdr:clientData/>
  </xdr:twoCellAnchor>
  <xdr:twoCellAnchor editAs="oneCell">
    <xdr:from>
      <xdr:col>2</xdr:col>
      <xdr:colOff>0</xdr:colOff>
      <xdr:row>447</xdr:row>
      <xdr:rowOff>0</xdr:rowOff>
    </xdr:from>
    <xdr:to>
      <xdr:col>6</xdr:col>
      <xdr:colOff>647700</xdr:colOff>
      <xdr:row>461</xdr:row>
      <xdr:rowOff>152400</xdr:rowOff>
    </xdr:to>
    <xdr:pic>
      <xdr:nvPicPr>
        <xdr:cNvPr id="11" name="Image 10"/>
        <xdr:cNvPicPr preferRelativeResize="1">
          <a:picLocks noChangeAspect="1"/>
        </xdr:cNvPicPr>
      </xdr:nvPicPr>
      <xdr:blipFill>
        <a:blip r:embed="rId7"/>
        <a:stretch>
          <a:fillRect/>
        </a:stretch>
      </xdr:blipFill>
      <xdr:spPr bwMode="auto">
        <a:xfrm>
          <a:off x="4162425" y="86629875"/>
          <a:ext cx="4591050" cy="2447925"/>
        </a:xfrm>
        <a:prstGeom prst="rect">
          <a:avLst/>
        </a:prstGeom>
        <a:ln>
          <a:noFill/>
        </a:ln>
      </xdr:spPr>
    </xdr:pic>
    <xdr:clientData/>
  </xdr:twoCellAnchor>
  <xdr:twoCellAnchor editAs="oneCell">
    <xdr:from>
      <xdr:col>2</xdr:col>
      <xdr:colOff>0</xdr:colOff>
      <xdr:row>468</xdr:row>
      <xdr:rowOff>0</xdr:rowOff>
    </xdr:from>
    <xdr:to>
      <xdr:col>6</xdr:col>
      <xdr:colOff>628650</xdr:colOff>
      <xdr:row>503</xdr:row>
      <xdr:rowOff>133350</xdr:rowOff>
    </xdr:to>
    <xdr:pic>
      <xdr:nvPicPr>
        <xdr:cNvPr id="12" name="Image 11"/>
        <xdr:cNvPicPr preferRelativeResize="1">
          <a:picLocks noChangeAspect="1"/>
        </xdr:cNvPicPr>
      </xdr:nvPicPr>
      <xdr:blipFill>
        <a:blip r:embed="rId8"/>
        <a:stretch>
          <a:fillRect/>
        </a:stretch>
      </xdr:blipFill>
      <xdr:spPr bwMode="auto">
        <a:xfrm>
          <a:off x="4162425" y="90258900"/>
          <a:ext cx="4572000" cy="58293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84</xdr:row>
      <xdr:rowOff>152400</xdr:rowOff>
    </xdr:from>
    <xdr:to>
      <xdr:col>23</xdr:col>
      <xdr:colOff>180975</xdr:colOff>
      <xdr:row>100</xdr:row>
      <xdr:rowOff>133350</xdr:rowOff>
    </xdr:to>
    <xdr:graphicFrame>
      <xdr:nvGraphicFramePr>
        <xdr:cNvPr id="2" name="Graphique 1"/>
        <xdr:cNvGraphicFramePr/>
      </xdr:nvGraphicFramePr>
      <xdr:xfrm>
        <a:off x="14963775" y="16859250"/>
        <a:ext cx="5800725" cy="360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xmlns:p="http://schemas.openxmlformats.org/presentation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dimension ref="B2:N39"/>
  <sheetViews>
    <sheetView zoomScale="70" zoomScaleNormal="70" workbookViewId="0" topLeftCell="A1">
      <selection activeCell="K33" sqref="K33"/>
    </sheetView>
  </sheetViews>
  <sheetFormatPr defaultColWidth="11.421875" defaultRowHeight="15"/>
  <cols>
    <col min="1" max="1" width="4.57421875" style="0" customWidth="1"/>
    <col min="2" max="2" width="54.7109375" style="0" customWidth="1"/>
    <col min="3" max="3" width="22.421875" style="1" customWidth="1"/>
    <col min="4" max="4" width="19.421875" style="0" customWidth="1"/>
    <col min="5" max="5" width="20.00390625" style="0" customWidth="1"/>
    <col min="6" max="6" width="22.140625" style="0" customWidth="1"/>
    <col min="7" max="7" width="20.57421875" style="0" customWidth="1"/>
    <col min="8" max="8" width="21.28125" style="0" customWidth="1"/>
    <col min="9" max="9" width="19.8515625" style="0" hidden="1" customWidth="1"/>
    <col min="10" max="10" width="11.421875" style="0" hidden="1" customWidth="1"/>
    <col min="11" max="11" width="68.57421875" style="0" customWidth="1"/>
  </cols>
  <sheetData>
    <row r="2" spans="2:14" ht="15" customHeight="1">
      <c r="B2" s="2" t="s">
        <v>0</v>
      </c>
      <c r="C2" s="3" t="s">
        <v>1</v>
      </c>
      <c r="D2" s="4"/>
      <c r="E2" s="5"/>
      <c r="F2" s="6" t="s">
        <v>2</v>
      </c>
      <c r="G2" s="7" t="s">
        <v>3</v>
      </c>
      <c r="H2" s="8"/>
      <c r="I2" s="9" t="s">
        <v>4</v>
      </c>
      <c r="J2" s="10"/>
      <c r="K2" s="10"/>
      <c r="L2" s="10"/>
      <c r="M2" s="10"/>
      <c r="N2" s="10"/>
    </row>
    <row r="3" spans="2:14" ht="15">
      <c r="B3" s="11" t="s">
        <v>5</v>
      </c>
      <c r="C3" s="12">
        <v>2023</v>
      </c>
      <c r="D3" s="13" t="s">
        <v>6</v>
      </c>
      <c r="E3" s="13" t="s">
        <v>7</v>
      </c>
      <c r="F3" s="13" t="s">
        <v>6</v>
      </c>
      <c r="G3" s="14" t="s">
        <v>8</v>
      </c>
      <c r="H3" s="15" t="s">
        <v>7</v>
      </c>
      <c r="I3" s="16" t="s">
        <v>9</v>
      </c>
      <c r="J3" s="10"/>
      <c r="K3" s="10"/>
      <c r="L3" s="10"/>
      <c r="M3" s="10"/>
      <c r="N3" s="10"/>
    </row>
    <row r="4" spans="2:14" ht="15">
      <c r="B4" s="17" t="s">
        <v>10</v>
      </c>
      <c r="C4" s="18">
        <f>'DATA Conservative'!P38</f>
        <v>46.667779259999996</v>
      </c>
      <c r="D4" s="19">
        <f>'DATA Conservative'!C38</f>
        <v>0.67</v>
      </c>
      <c r="E4" s="19">
        <f>'DATA Conservative'!E38</f>
        <v>0.3</v>
      </c>
      <c r="F4" s="20">
        <f>'DATA Growth'!C38</f>
        <v>0.7</v>
      </c>
      <c r="G4" s="21">
        <v>0.61</v>
      </c>
      <c r="H4" s="22">
        <f aca="true" t="shared" si="0" ref="H4:H8">G4</f>
        <v>0.61</v>
      </c>
      <c r="I4" s="23">
        <v>0.4378539706849116</v>
      </c>
      <c r="J4" s="10"/>
      <c r="L4" s="10"/>
      <c r="M4" s="10"/>
      <c r="N4" s="10"/>
    </row>
    <row r="5" spans="2:14" ht="16.5">
      <c r="B5" s="24" t="s">
        <v>11</v>
      </c>
      <c r="C5" s="25">
        <f>'DATA Conservative'!P59</f>
        <v>56.2754405</v>
      </c>
      <c r="D5" s="26">
        <f>'DATA Conservative'!C59</f>
        <v>0.03</v>
      </c>
      <c r="E5" s="26">
        <f>'DATA Conservative'!E59</f>
        <v>0.03</v>
      </c>
      <c r="F5" s="27">
        <f>'DATA Growth'!C59</f>
        <v>0.03</v>
      </c>
      <c r="G5" s="28">
        <v>0.07012954514109704</v>
      </c>
      <c r="H5" s="29">
        <f t="shared" si="0"/>
        <v>0.07012954514109704</v>
      </c>
      <c r="I5" s="30">
        <v>0.07012954514109704</v>
      </c>
      <c r="J5" s="10"/>
      <c r="K5" s="10"/>
      <c r="L5" s="10"/>
      <c r="M5" s="10"/>
      <c r="N5" s="10"/>
    </row>
    <row r="6" spans="2:14" ht="15">
      <c r="B6" s="24" t="s">
        <v>12</v>
      </c>
      <c r="C6" s="25">
        <f>'DATA Conservative'!P79</f>
        <v>201.69975172413797</v>
      </c>
      <c r="D6" s="26">
        <f>'DATA Conservative'!C79</f>
        <v>0.04</v>
      </c>
      <c r="E6" s="26">
        <f>'DATA Conservative'!E79</f>
        <v>0.04</v>
      </c>
      <c r="F6" s="27">
        <f>'DATA Growth'!C79</f>
        <v>0.04</v>
      </c>
      <c r="G6" s="28">
        <f>G5</f>
        <v>0.07012954514109704</v>
      </c>
      <c r="H6" s="29">
        <f t="shared" si="0"/>
        <v>0.07012954514109704</v>
      </c>
      <c r="I6" s="30">
        <v>0.08</v>
      </c>
      <c r="J6" s="10"/>
      <c r="K6" s="10"/>
      <c r="L6" s="10"/>
      <c r="M6" s="10"/>
      <c r="N6" s="10"/>
    </row>
    <row r="7" spans="2:13" ht="15">
      <c r="B7" s="24" t="s">
        <v>13</v>
      </c>
      <c r="C7" s="25">
        <f>'DATA Conservative'!P98</f>
        <v>242.02079999999992</v>
      </c>
      <c r="D7" s="26">
        <f>'DATA Conservative'!C98</f>
        <v>0.4</v>
      </c>
      <c r="E7" s="26">
        <f>'DATA Conservative'!E98</f>
        <v>0.11</v>
      </c>
      <c r="F7" s="27">
        <f>'DATA Growth'!C98</f>
        <v>0.5</v>
      </c>
      <c r="G7" s="28">
        <v>0.36</v>
      </c>
      <c r="H7" s="29">
        <f t="shared" si="0"/>
        <v>0.36</v>
      </c>
      <c r="I7" s="30">
        <v>0.16264053157772462</v>
      </c>
      <c r="K7" s="10"/>
      <c r="L7" s="10"/>
      <c r="M7" s="10"/>
    </row>
    <row r="8" spans="2:13" ht="15">
      <c r="B8" s="31" t="s">
        <v>14</v>
      </c>
      <c r="C8" s="32">
        <f>'DATA Conservative'!P118</f>
        <v>2.16486432</v>
      </c>
      <c r="D8" s="33">
        <f>'DATA Conservative'!C118</f>
        <v>0.02</v>
      </c>
      <c r="E8" s="33">
        <f>'DATA Conservative'!E118</f>
        <v>0.02</v>
      </c>
      <c r="F8" s="34">
        <f>'DATA Growth'!C118</f>
        <v>0.02</v>
      </c>
      <c r="G8" s="35">
        <v>0.03560566043182889</v>
      </c>
      <c r="H8" s="36">
        <f t="shared" si="0"/>
        <v>0.03560566043182889</v>
      </c>
      <c r="I8" s="37">
        <v>0.03560566043182889</v>
      </c>
      <c r="J8" s="10"/>
      <c r="K8" s="10"/>
      <c r="L8" s="10"/>
      <c r="M8" s="10"/>
    </row>
    <row r="9" ht="15"/>
    <row r="10" spans="2:14" ht="15">
      <c r="B10" s="38" t="s">
        <v>0</v>
      </c>
      <c r="C10" s="3" t="s">
        <v>1</v>
      </c>
      <c r="D10" s="4"/>
      <c r="E10" s="5"/>
      <c r="F10" s="6" t="s">
        <v>2</v>
      </c>
      <c r="G10" s="7" t="s">
        <v>3</v>
      </c>
      <c r="H10" s="8"/>
      <c r="I10" s="8" t="s">
        <v>4</v>
      </c>
      <c r="J10" s="10"/>
      <c r="K10" s="10"/>
      <c r="L10" s="10"/>
      <c r="M10" s="10"/>
      <c r="N10" s="10"/>
    </row>
    <row r="11" spans="2:14" ht="15">
      <c r="B11" s="39" t="s">
        <v>15</v>
      </c>
      <c r="C11" s="40">
        <v>2023</v>
      </c>
      <c r="D11" s="13" t="s">
        <v>6</v>
      </c>
      <c r="E11" s="13" t="s">
        <v>7</v>
      </c>
      <c r="F11" s="13" t="s">
        <v>6</v>
      </c>
      <c r="G11" s="14" t="s">
        <v>8</v>
      </c>
      <c r="H11" s="15" t="s">
        <v>7</v>
      </c>
      <c r="I11" s="41" t="s">
        <v>9</v>
      </c>
      <c r="J11" s="10"/>
      <c r="K11" s="10"/>
      <c r="L11" s="10"/>
      <c r="M11" s="10"/>
      <c r="N11" s="10"/>
    </row>
    <row r="12" spans="2:14" ht="15">
      <c r="B12" s="42" t="s">
        <v>10</v>
      </c>
      <c r="C12" s="18">
        <f>'DATA Conservative'!P33</f>
        <v>3101.468384</v>
      </c>
      <c r="D12" s="19">
        <f>'DATA Conservative'!C33</f>
        <v>0.22</v>
      </c>
      <c r="E12" s="19">
        <f>'DATA Conservative'!E33</f>
        <v>0.22</v>
      </c>
      <c r="F12" s="20">
        <f>'DATA Growth'!C33</f>
        <v>0.3</v>
      </c>
      <c r="G12" s="43">
        <v>0.24</v>
      </c>
      <c r="H12" s="22">
        <f>G12</f>
        <v>0.24</v>
      </c>
      <c r="I12" s="44">
        <f aca="true" t="shared" si="1" ref="I12:I16">D12</f>
        <v>0.22</v>
      </c>
      <c r="L12" s="10"/>
      <c r="M12" s="10"/>
      <c r="N12" s="10"/>
    </row>
    <row r="13" spans="2:14" ht="16.5">
      <c r="B13" s="45" t="s">
        <v>11</v>
      </c>
      <c r="C13" s="25">
        <f>'DATA Conservative'!P54</f>
        <v>1.8232593750000003</v>
      </c>
      <c r="D13" s="26">
        <f>'DATA Conservative'!C54</f>
        <v>0.05</v>
      </c>
      <c r="E13" s="26">
        <f>'DATA Conservative'!E54</f>
        <v>0.05</v>
      </c>
      <c r="F13" s="27">
        <f>'DATA Growth'!D54</f>
        <v>0.05</v>
      </c>
      <c r="G13" s="28">
        <v>0.4</v>
      </c>
      <c r="H13" s="46">
        <v>0.34590019263235616</v>
      </c>
      <c r="I13" s="47">
        <f t="shared" si="1"/>
        <v>0.05</v>
      </c>
      <c r="L13" s="10"/>
      <c r="M13" s="10"/>
      <c r="N13" s="10"/>
    </row>
    <row r="14" spans="2:14" ht="15">
      <c r="B14" s="45" t="s">
        <v>12</v>
      </c>
      <c r="C14" s="25">
        <f>'DATA Conservative'!P74</f>
        <v>6.287101293103449</v>
      </c>
      <c r="D14" s="26">
        <f>'DATA Conservative'!C74</f>
        <v>0.05</v>
      </c>
      <c r="E14" s="26">
        <f>'DATA Conservative'!E74</f>
        <v>0.05</v>
      </c>
      <c r="F14" s="27">
        <f>'DATA Growth'!C74</f>
        <v>0.05</v>
      </c>
      <c r="G14" s="48">
        <v>0.35</v>
      </c>
      <c r="H14" s="29">
        <f aca="true" t="shared" si="2" ref="H14:H32">G14</f>
        <v>0.35</v>
      </c>
      <c r="I14" s="47">
        <f t="shared" si="1"/>
        <v>0.05</v>
      </c>
      <c r="L14" s="10"/>
      <c r="M14" s="10"/>
      <c r="N14" s="10"/>
    </row>
    <row r="15" spans="2:14" ht="15">
      <c r="B15" s="45" t="s">
        <v>13</v>
      </c>
      <c r="C15" s="25">
        <f>'DATA Conservative'!P93</f>
        <v>15553.263842999997</v>
      </c>
      <c r="D15" s="26">
        <f>'DATA Conservative'!C93</f>
        <v>0.17</v>
      </c>
      <c r="E15" s="26">
        <f>'DATA Conservative'!E93</f>
        <v>0.17</v>
      </c>
      <c r="F15" s="27">
        <f>'DATA Growth'!C93</f>
        <v>0.25</v>
      </c>
      <c r="G15" s="48">
        <v>0.2</v>
      </c>
      <c r="H15" s="29">
        <f t="shared" si="2"/>
        <v>0.2</v>
      </c>
      <c r="I15" s="47">
        <f t="shared" si="1"/>
        <v>0.17</v>
      </c>
      <c r="L15" s="10"/>
      <c r="M15" s="10"/>
      <c r="N15" s="10"/>
    </row>
    <row r="16" spans="2:14" ht="15">
      <c r="B16" s="49" t="s">
        <v>14</v>
      </c>
      <c r="C16" s="32">
        <f>'DATA Conservative'!P113</f>
        <v>7.1350747499999985</v>
      </c>
      <c r="D16" s="33">
        <f>'DATA Conservative'!C113</f>
        <v>-0.05</v>
      </c>
      <c r="E16" s="33">
        <f>'DATA Conservative'!E113</f>
        <v>-0.05</v>
      </c>
      <c r="F16" s="34">
        <f>'DATA Growth'!C113</f>
        <v>-0.05</v>
      </c>
      <c r="G16" s="50">
        <v>-0.02</v>
      </c>
      <c r="H16" s="36">
        <f t="shared" si="2"/>
        <v>-0.02</v>
      </c>
      <c r="I16" s="51">
        <f t="shared" si="1"/>
        <v>-0.05</v>
      </c>
      <c r="L16" s="10"/>
      <c r="M16" s="10"/>
      <c r="N16" s="10"/>
    </row>
    <row r="17" spans="2:14" ht="15">
      <c r="B17" s="52"/>
      <c r="C17" s="53"/>
      <c r="D17" s="54"/>
      <c r="E17" s="54"/>
      <c r="F17" s="54"/>
      <c r="G17" s="54"/>
      <c r="H17" s="55"/>
      <c r="I17" s="54"/>
      <c r="J17" s="10"/>
      <c r="K17" s="56"/>
      <c r="L17" s="10"/>
      <c r="M17" s="10"/>
      <c r="N17" s="10"/>
    </row>
    <row r="18" spans="2:14" ht="15">
      <c r="B18" s="2" t="s">
        <v>0</v>
      </c>
      <c r="C18" s="3" t="s">
        <v>1</v>
      </c>
      <c r="D18" s="4"/>
      <c r="E18" s="5"/>
      <c r="F18" s="6" t="s">
        <v>2</v>
      </c>
      <c r="G18" s="7" t="s">
        <v>3</v>
      </c>
      <c r="H18" s="8"/>
      <c r="I18" s="54"/>
      <c r="J18" s="10"/>
      <c r="K18" s="56"/>
      <c r="L18" s="10"/>
      <c r="M18" s="10"/>
      <c r="N18" s="10"/>
    </row>
    <row r="19" spans="2:14" ht="15">
      <c r="B19" s="57" t="s">
        <v>16</v>
      </c>
      <c r="C19" s="12">
        <v>2023</v>
      </c>
      <c r="D19" s="58" t="s">
        <v>6</v>
      </c>
      <c r="E19" s="58" t="s">
        <v>7</v>
      </c>
      <c r="F19" s="58" t="s">
        <v>6</v>
      </c>
      <c r="G19" s="59" t="s">
        <v>8</v>
      </c>
      <c r="H19" s="60" t="s">
        <v>7</v>
      </c>
      <c r="I19" s="54"/>
      <c r="J19" s="10"/>
      <c r="K19" s="56"/>
      <c r="L19" s="10"/>
      <c r="M19" s="10"/>
      <c r="N19" s="10"/>
    </row>
    <row r="20" spans="2:14" ht="15">
      <c r="B20" s="17" t="s">
        <v>10</v>
      </c>
      <c r="C20" s="61">
        <f>'DATA Conservative'!P41</f>
        <v>63.011843999999996</v>
      </c>
      <c r="D20" s="54">
        <f>'DATA Conservative'!C41</f>
        <v>0.26</v>
      </c>
      <c r="E20" s="54">
        <f>'DATA Conservative'!E41</f>
        <v>0.26</v>
      </c>
      <c r="F20" s="54">
        <f>'DATA Growth'!C41</f>
        <v>0.35</v>
      </c>
      <c r="G20" s="62">
        <v>0.28</v>
      </c>
      <c r="H20" s="63">
        <f t="shared" si="2"/>
        <v>0.28</v>
      </c>
      <c r="I20" s="54"/>
      <c r="J20" s="10"/>
      <c r="K20" s="56"/>
      <c r="L20" s="10"/>
      <c r="M20" s="10"/>
      <c r="N20" s="10"/>
    </row>
    <row r="21" spans="2:14" ht="16.5">
      <c r="B21" s="45" t="s">
        <v>11</v>
      </c>
      <c r="C21" s="25">
        <f>'DATA Conservative'!P62</f>
        <v>54.121608</v>
      </c>
      <c r="D21" s="54">
        <f>'DATA Conservative'!C62</f>
        <v>0.02</v>
      </c>
      <c r="E21" s="54">
        <f>'DATA Conservative'!E62</f>
        <v>0.02</v>
      </c>
      <c r="F21" s="54">
        <f>'DATA Growth'!C62</f>
        <v>0.02</v>
      </c>
      <c r="G21" s="64">
        <v>0.02</v>
      </c>
      <c r="H21" s="63">
        <f t="shared" si="2"/>
        <v>0.02</v>
      </c>
      <c r="I21" s="54"/>
      <c r="J21" s="10"/>
      <c r="K21" s="56"/>
      <c r="L21" s="10"/>
      <c r="M21" s="10"/>
      <c r="N21" s="10"/>
    </row>
    <row r="22" spans="2:14" ht="15">
      <c r="B22" s="45" t="s">
        <v>12</v>
      </c>
      <c r="C22" s="25">
        <f>'DATA Conservative'!P82</f>
        <v>194.05324310344832</v>
      </c>
      <c r="D22" s="54">
        <f>'DATA Conservative'!C82</f>
        <v>0.03</v>
      </c>
      <c r="E22" s="54">
        <f>'DATA Conservative'!E82</f>
        <v>0.03</v>
      </c>
      <c r="F22" s="54">
        <f>'DATA Growth'!C82</f>
        <v>0.03</v>
      </c>
      <c r="G22" s="64">
        <v>0.03</v>
      </c>
      <c r="H22" s="63">
        <f t="shared" si="2"/>
        <v>0.03</v>
      </c>
      <c r="I22" s="54"/>
      <c r="J22" s="10"/>
      <c r="K22" s="56"/>
      <c r="L22" s="10"/>
      <c r="M22" s="10"/>
      <c r="N22" s="10"/>
    </row>
    <row r="23" spans="2:14" ht="15">
      <c r="B23" s="24" t="s">
        <v>13</v>
      </c>
      <c r="C23" s="25">
        <f>'DATA Conservative'!P101</f>
        <v>1492.9919999999997</v>
      </c>
      <c r="D23" s="54">
        <f>'DATA Conservative'!C101</f>
        <v>0.2</v>
      </c>
      <c r="E23" s="54">
        <f>'DATA Conservative'!E101</f>
        <v>0.2</v>
      </c>
      <c r="F23" s="54">
        <f>'DATA Growth'!C101</f>
        <v>0.25</v>
      </c>
      <c r="G23" s="65">
        <v>0.25</v>
      </c>
      <c r="H23" s="66">
        <v>0.3</v>
      </c>
      <c r="I23" s="54"/>
      <c r="J23" s="10"/>
      <c r="K23" s="56"/>
      <c r="L23" s="10"/>
      <c r="M23" s="10"/>
      <c r="N23" s="10"/>
    </row>
    <row r="24" spans="2:14" ht="15">
      <c r="B24" s="31" t="s">
        <v>14</v>
      </c>
      <c r="C24" s="32">
        <f>'DATA Conservative'!P121</f>
        <v>26.28</v>
      </c>
      <c r="D24" s="67">
        <f>'DATA Conservative'!C121</f>
        <v>0</v>
      </c>
      <c r="E24" s="67">
        <f>'DATA Conservative'!E121</f>
        <v>0</v>
      </c>
      <c r="F24" s="67">
        <f>'DATA Growth'!C121</f>
        <v>0</v>
      </c>
      <c r="G24" s="68">
        <v>0.02</v>
      </c>
      <c r="H24" s="69">
        <v>0.04</v>
      </c>
      <c r="J24" s="10"/>
      <c r="K24" s="10"/>
      <c r="L24" s="10"/>
      <c r="M24" s="10"/>
      <c r="N24" s="10"/>
    </row>
    <row r="25" spans="2:14" ht="15">
      <c r="B25" s="52"/>
      <c r="C25" s="70"/>
      <c r="H25" s="10"/>
      <c r="J25" s="10"/>
      <c r="K25" s="10"/>
      <c r="L25" s="10"/>
      <c r="M25" s="10"/>
      <c r="N25" s="10"/>
    </row>
    <row r="26" spans="2:10" ht="15" customHeight="1">
      <c r="B26" s="71" t="s">
        <v>17</v>
      </c>
      <c r="C26" s="3" t="s">
        <v>1</v>
      </c>
      <c r="D26" s="4"/>
      <c r="E26" s="5"/>
      <c r="F26" s="6" t="s">
        <v>18</v>
      </c>
      <c r="G26" s="7" t="s">
        <v>3</v>
      </c>
      <c r="H26" s="8"/>
      <c r="I26" s="9" t="s">
        <v>4</v>
      </c>
      <c r="J26" s="10"/>
    </row>
    <row r="27" spans="2:9" ht="15">
      <c r="B27" s="72"/>
      <c r="C27" s="40">
        <v>2023</v>
      </c>
      <c r="D27" s="13" t="s">
        <v>6</v>
      </c>
      <c r="E27" s="13" t="s">
        <v>7</v>
      </c>
      <c r="F27" s="13" t="s">
        <v>6</v>
      </c>
      <c r="G27" s="14" t="s">
        <v>8</v>
      </c>
      <c r="H27" s="15" t="s">
        <v>7</v>
      </c>
      <c r="I27" s="16" t="s">
        <v>9</v>
      </c>
    </row>
    <row r="28" spans="2:9" ht="15">
      <c r="B28" s="42" t="s">
        <v>19</v>
      </c>
      <c r="C28" s="18">
        <f>'DATA Conservative'!P129</f>
        <v>1623.7686574687493</v>
      </c>
      <c r="D28" s="73">
        <f>'DATA Conservative'!C129</f>
        <v>0.15</v>
      </c>
      <c r="E28" s="73">
        <f>'DATA Conservative'!E129</f>
        <v>0.09</v>
      </c>
      <c r="F28" s="74">
        <f>'DATA Growth'!C129</f>
        <v>0.18</v>
      </c>
      <c r="G28" s="21">
        <v>0.2926783502631569</v>
      </c>
      <c r="H28" s="22">
        <f t="shared" si="2"/>
        <v>0.2926783502631569</v>
      </c>
      <c r="I28" s="23">
        <v>0.14953740154425876</v>
      </c>
    </row>
    <row r="29" spans="2:9" ht="15">
      <c r="B29" s="45" t="s">
        <v>20</v>
      </c>
      <c r="C29" s="25">
        <f>'DATA Conservative'!P130</f>
        <v>3178.9113677527503</v>
      </c>
      <c r="D29" s="26">
        <f>'DATA Conservative'!C130</f>
        <v>0.31</v>
      </c>
      <c r="E29" s="26">
        <f>'DATA Conservative'!E130</f>
        <v>0.13</v>
      </c>
      <c r="F29" s="27">
        <f>'DATA Growth'!C130</f>
        <v>0.35</v>
      </c>
      <c r="G29" s="28">
        <v>0.35399653129949016</v>
      </c>
      <c r="H29" s="29">
        <f t="shared" si="2"/>
        <v>0.35399653129949016</v>
      </c>
      <c r="I29" s="30">
        <v>0.2776964520310121</v>
      </c>
    </row>
    <row r="30" spans="2:9" ht="15">
      <c r="B30" s="45" t="s">
        <v>21</v>
      </c>
      <c r="C30" s="25">
        <f>'DATA Conservative'!P132</f>
        <v>1225.9182562800004</v>
      </c>
      <c r="D30" s="26">
        <f>'DATA Conservative'!C132</f>
        <v>0.37</v>
      </c>
      <c r="E30" s="26">
        <f>'DATA Conservative'!E132</f>
        <v>0.23</v>
      </c>
      <c r="F30" s="27">
        <f>'DATA Growth'!E132</f>
        <v>0.45</v>
      </c>
      <c r="G30" s="28">
        <v>0.37</v>
      </c>
      <c r="H30" s="29">
        <f t="shared" si="2"/>
        <v>0.37</v>
      </c>
      <c r="I30" s="30">
        <v>0.3072174941354546</v>
      </c>
    </row>
    <row r="31" spans="2:9" ht="15">
      <c r="B31" s="45" t="s">
        <v>22</v>
      </c>
      <c r="C31" s="25">
        <f>'DATA Conservative'!P134</f>
        <v>19294.14515015914</v>
      </c>
      <c r="D31" s="26">
        <f>'DATA Conservative'!C134</f>
        <v>0.3</v>
      </c>
      <c r="E31" s="26">
        <f>'DATA Conservative'!E134</f>
        <v>0.3</v>
      </c>
      <c r="F31" s="27">
        <f>'DATA Growth'!C134</f>
        <v>0.34</v>
      </c>
      <c r="G31" s="28">
        <v>0.3</v>
      </c>
      <c r="H31" s="29">
        <f t="shared" si="2"/>
        <v>0.3</v>
      </c>
      <c r="I31" s="30">
        <v>0.30000000000000004</v>
      </c>
    </row>
    <row r="32" spans="2:9" ht="15">
      <c r="B32" s="49" t="s">
        <v>23</v>
      </c>
      <c r="C32" s="32">
        <f>'DATA Conservative'!P135</f>
        <v>11975.149524947348</v>
      </c>
      <c r="D32" s="33">
        <f>'DATA Conservative'!C135</f>
        <v>0.13</v>
      </c>
      <c r="E32" s="33">
        <f>'DATA Conservative'!E135</f>
        <v>0.13</v>
      </c>
      <c r="F32" s="34">
        <f>'DATA Growth'!C135</f>
        <v>0.16</v>
      </c>
      <c r="G32" s="35">
        <v>0.25</v>
      </c>
      <c r="H32" s="36">
        <f t="shared" si="2"/>
        <v>0.25</v>
      </c>
      <c r="I32" s="37">
        <v>0.1299999999999999</v>
      </c>
    </row>
    <row r="33" spans="2:9" ht="15">
      <c r="B33" s="75"/>
      <c r="C33" s="53"/>
      <c r="D33" s="54"/>
      <c r="E33" s="54"/>
      <c r="F33" s="54"/>
      <c r="G33" s="54"/>
      <c r="H33" s="55"/>
      <c r="I33" s="54"/>
    </row>
    <row r="34" ht="15">
      <c r="B34" s="75" t="s">
        <v>24</v>
      </c>
    </row>
    <row r="35" spans="2:7" ht="15">
      <c r="B35" s="75" t="s">
        <v>25</v>
      </c>
      <c r="F35" s="76"/>
      <c r="G35" s="76"/>
    </row>
    <row r="36" spans="2:7" ht="15">
      <c r="B36" s="77"/>
      <c r="F36" s="78"/>
      <c r="G36" s="78"/>
    </row>
    <row r="37" spans="2:4" ht="15">
      <c r="B37" s="79" t="s">
        <v>26</v>
      </c>
      <c r="C37" s="80" t="s">
        <v>3</v>
      </c>
      <c r="D37" s="8"/>
    </row>
    <row r="38" spans="2:5" ht="15">
      <c r="B38" s="81"/>
      <c r="C38" s="82" t="s">
        <v>27</v>
      </c>
      <c r="D38" s="83" t="s">
        <v>6</v>
      </c>
      <c r="E38" s="56"/>
    </row>
    <row r="39" spans="2:5" ht="15">
      <c r="B39" s="84" t="s">
        <v>21</v>
      </c>
      <c r="C39" s="85">
        <v>0.42</v>
      </c>
      <c r="D39" s="86">
        <f>G30</f>
        <v>0.37</v>
      </c>
      <c r="E39" s="56"/>
    </row>
  </sheetData>
  <mergeCells count="11">
    <mergeCell ref="C2:E2"/>
    <mergeCell ref="G2:H2"/>
    <mergeCell ref="C10:E10"/>
    <mergeCell ref="G10:H10"/>
    <mergeCell ref="C18:E18"/>
    <mergeCell ref="G18:H18"/>
    <mergeCell ref="B26:B27"/>
    <mergeCell ref="C26:E26"/>
    <mergeCell ref="G26:H26"/>
    <mergeCell ref="B37:B38"/>
    <mergeCell ref="C37:D37"/>
  </mergeCells>
  <printOptions/>
  <pageMargins left="0.7" right="0.7" top="0.75" bottom="0.75" header="0.3" footer="0.3"/>
  <pageSetup horizontalDpi="600" verticalDpi="600" orientation="portrait" paperSize="9" copies="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X120"/>
  <sheetViews>
    <sheetView zoomScale="70" zoomScaleNormal="70" workbookViewId="0" topLeftCell="A100">
      <selection activeCell="H112" sqref="H112:J127"/>
    </sheetView>
  </sheetViews>
  <sheetFormatPr defaultColWidth="12.140625" defaultRowHeight="15"/>
  <cols>
    <col min="1" max="1" width="50.57421875" style="142" customWidth="1"/>
    <col min="2" max="2" width="9.57421875" style="142" customWidth="1"/>
    <col min="3" max="7" width="8.57421875" style="142" customWidth="1"/>
    <col min="8" max="8" width="8.57421875" style="311" customWidth="1"/>
    <col min="9" max="19" width="8.57421875" style="142" customWidth="1"/>
    <col min="20" max="20" width="12.421875" style="142" customWidth="1"/>
    <col min="21" max="21" width="13.57421875" style="142" customWidth="1"/>
    <col min="22" max="23" width="14.421875" style="142" customWidth="1"/>
    <col min="24" max="24" width="12.57421875" style="142" customWidth="1"/>
    <col min="25" max="25" width="32.7109375" style="142" customWidth="1"/>
    <col min="26" max="16384" width="12.140625" style="142" customWidth="1"/>
  </cols>
  <sheetData>
    <row r="2" spans="1:2" ht="14.5">
      <c r="A2" s="153" t="s">
        <v>364</v>
      </c>
      <c r="B2" s="358"/>
    </row>
    <row r="3" spans="1:2" ht="15">
      <c r="A3" s="358"/>
      <c r="B3" s="358"/>
    </row>
    <row r="4" ht="11.4" customHeight="1"/>
    <row r="5" spans="1:19" ht="32.4" customHeight="1">
      <c r="A5" s="153" t="s">
        <v>324</v>
      </c>
      <c r="B5" s="152">
        <v>2013</v>
      </c>
      <c r="C5" s="152">
        <v>2014</v>
      </c>
      <c r="D5" s="152">
        <v>2015</v>
      </c>
      <c r="E5" s="152">
        <v>2016</v>
      </c>
      <c r="F5" s="152">
        <v>2017</v>
      </c>
      <c r="G5" s="152">
        <v>2018</v>
      </c>
      <c r="H5" s="360">
        <v>2019</v>
      </c>
      <c r="I5" s="152">
        <v>2020</v>
      </c>
      <c r="J5" s="152">
        <v>2021</v>
      </c>
      <c r="K5" s="152">
        <v>2022</v>
      </c>
      <c r="L5" s="152">
        <v>2023</v>
      </c>
      <c r="M5" s="153">
        <v>2024</v>
      </c>
      <c r="N5" s="154">
        <v>2025</v>
      </c>
      <c r="O5" s="271">
        <v>2026</v>
      </c>
      <c r="P5" s="271">
        <v>2027</v>
      </c>
      <c r="Q5" s="271">
        <v>2028</v>
      </c>
      <c r="R5" s="271">
        <v>2029</v>
      </c>
      <c r="S5" s="270">
        <v>2030</v>
      </c>
    </row>
    <row r="6" spans="1:19" ht="15" customHeight="1">
      <c r="A6" s="361" t="s">
        <v>74</v>
      </c>
      <c r="B6" s="163">
        <f>'DATA Meta-conf'!F46*'DATA Meta-conf'!F25/1000</f>
        <v>56.48422509586182</v>
      </c>
      <c r="C6" s="163">
        <f>'DATA Meta-conf'!G46*'DATA Meta-conf'!G25/1000</f>
        <v>53.095171590110105</v>
      </c>
      <c r="D6" s="163">
        <f>'DATA Meta-conf'!H46*'DATA Meta-conf'!H25/1000</f>
        <v>49.90946129470349</v>
      </c>
      <c r="E6" s="163">
        <f>'DATA Meta-conf'!I46*'DATA Meta-conf'!I25/1000</f>
        <v>46.914893617021285</v>
      </c>
      <c r="F6" s="163">
        <f>'DATA Meta-conf'!J46*'DATA Meta-conf'!J25/1000</f>
        <v>44.1</v>
      </c>
      <c r="G6" s="163">
        <f>'DATA Meta-conf'!K46*'DATA Meta-conf'!K25/1000</f>
        <v>42.9975</v>
      </c>
      <c r="H6" s="163">
        <f>'DATA Meta-conf'!L46*'DATA Meta-conf'!L25/1000</f>
        <v>41.9225625</v>
      </c>
      <c r="I6" s="163">
        <f>'DATA Meta-conf'!M46*'DATA Meta-conf'!M25/1000</f>
        <v>40.6732701375</v>
      </c>
      <c r="J6" s="163">
        <f>'DATA Meta-conf'!N46*'DATA Meta-conf'!N25/1000</f>
        <v>39.461206687402495</v>
      </c>
      <c r="K6" s="163">
        <f>'DATA Meta-conf'!O46*'DATA Meta-conf'!O25/1000</f>
        <v>38.2852627281179</v>
      </c>
      <c r="L6" s="163">
        <f>'DATA Meta-conf'!P46*'DATA Meta-conf'!P25/1000</f>
        <v>37.14436189881998</v>
      </c>
      <c r="M6" s="162">
        <f>'DATA Meta-conf'!Q46*'DATA Meta-conf'!Q25/1000</f>
        <v>36.03745991423514</v>
      </c>
      <c r="N6" s="164">
        <f>'DATA Meta-conf'!R46*'DATA Meta-conf'!R25/1000</f>
        <v>34.963543608790935</v>
      </c>
      <c r="O6" s="162">
        <f>'DATA Meta-conf'!S46*'DATA Meta-conf'!S25/1000</f>
        <v>33.921630009248965</v>
      </c>
      <c r="P6" s="163">
        <f>'DATA Meta-conf'!T46*'DATA Meta-conf'!T25/1000</f>
        <v>32.91076543497334</v>
      </c>
      <c r="Q6" s="163">
        <f>'DATA Meta-conf'!U46*'DATA Meta-conf'!U25/1000</f>
        <v>31.930024625011136</v>
      </c>
      <c r="R6" s="163">
        <f>'DATA Meta-conf'!V46*'DATA Meta-conf'!V25/1000</f>
        <v>30.9785098911858</v>
      </c>
      <c r="S6" s="164">
        <f>'DATA Meta-conf'!W46*'DATA Meta-conf'!W25/1000</f>
        <v>30.055350296428465</v>
      </c>
    </row>
    <row r="7" spans="1:19" ht="15" customHeight="1">
      <c r="A7" s="362" t="s">
        <v>76</v>
      </c>
      <c r="B7" s="160">
        <f>'DATA Meta-conf'!F47*'DATA Meta-conf'!F26/1000</f>
        <v>43.18433118593268</v>
      </c>
      <c r="C7" s="160">
        <f>'DATA Meta-conf'!G47*'DATA Meta-conf'!G26/1000</f>
        <v>44.01347034470258</v>
      </c>
      <c r="D7" s="160">
        <f>'DATA Meta-conf'!H47*'DATA Meta-conf'!H26/1000</f>
        <v>44.85852897532088</v>
      </c>
      <c r="E7" s="160">
        <f>'DATA Meta-conf'!I47*'DATA Meta-conf'!I26/1000</f>
        <v>45.71981273164704</v>
      </c>
      <c r="F7" s="160">
        <f>'DATA Meta-conf'!J47*'DATA Meta-conf'!J26/1000</f>
        <v>46.59763313609467</v>
      </c>
      <c r="G7" s="160">
        <f>'DATA Meta-conf'!K47*'DATA Meta-conf'!K26/1000</f>
        <v>48.46153846153845</v>
      </c>
      <c r="H7" s="160">
        <f>'DATA Meta-conf'!L47*'DATA Meta-conf'!L26/1000</f>
        <v>50.4</v>
      </c>
      <c r="I7" s="160">
        <f>'DATA Meta-conf'!M47*'DATA Meta-conf'!M26/1000</f>
        <v>52.416</v>
      </c>
      <c r="J7" s="160">
        <f>'DATA Meta-conf'!N47*'DATA Meta-conf'!N26/1000</f>
        <v>54.512640000000005</v>
      </c>
      <c r="K7" s="160">
        <f>'DATA Meta-conf'!O47*'DATA Meta-conf'!O26/1000</f>
        <v>56.6931456</v>
      </c>
      <c r="L7" s="160">
        <f>'DATA Meta-conf'!P47*'DATA Meta-conf'!P26/1000</f>
        <v>58.960871424000004</v>
      </c>
      <c r="M7" s="159">
        <f>'DATA Meta-conf'!Q47*'DATA Meta-conf'!Q26/1000</f>
        <v>61.31930628096001</v>
      </c>
      <c r="N7" s="161">
        <f>'DATA Meta-conf'!R47*'DATA Meta-conf'!R26/1000</f>
        <v>63.772078532198414</v>
      </c>
      <c r="O7" s="159">
        <f>'DATA Meta-conf'!S47*'DATA Meta-conf'!S26/1000</f>
        <v>66.32296167348635</v>
      </c>
      <c r="P7" s="160">
        <f>'DATA Meta-conf'!T47*'DATA Meta-conf'!T26/1000</f>
        <v>68.97588014042582</v>
      </c>
      <c r="Q7" s="160">
        <f>'DATA Meta-conf'!U47*'DATA Meta-conf'!U26/1000</f>
        <v>71.73491534604284</v>
      </c>
      <c r="R7" s="160">
        <f>'DATA Meta-conf'!V47*'DATA Meta-conf'!V26/1000</f>
        <v>74.60431195988455</v>
      </c>
      <c r="S7" s="161">
        <f>'DATA Meta-conf'!W47*'DATA Meta-conf'!W26/1000</f>
        <v>77.58848443827993</v>
      </c>
    </row>
    <row r="8" spans="1:19" ht="15" customHeight="1">
      <c r="A8" s="362" t="s">
        <v>325</v>
      </c>
      <c r="B8" s="160">
        <f>'DATA Meta-conf'!F48*'DATA Meta-conf'!F27/1000</f>
        <v>70.2539428507593</v>
      </c>
      <c r="C8" s="160">
        <f>'DATA Meta-conf'!G48*'DATA Meta-conf'!G27/1000</f>
        <v>68.84886399374412</v>
      </c>
      <c r="D8" s="160">
        <f>'DATA Meta-conf'!H48*'DATA Meta-conf'!H27/1000</f>
        <v>67.47188671386922</v>
      </c>
      <c r="E8" s="160">
        <f>'DATA Meta-conf'!I48*'DATA Meta-conf'!I27/1000</f>
        <v>66.12244897959185</v>
      </c>
      <c r="F8" s="160">
        <f>'DATA Meta-conf'!J48*'DATA Meta-conf'!J27/1000</f>
        <v>64.8</v>
      </c>
      <c r="G8" s="160">
        <f>'DATA Meta-conf'!K48*'DATA Meta-conf'!K27/1000</f>
        <v>64.8</v>
      </c>
      <c r="H8" s="160">
        <f>'DATA Meta-conf'!L48*'DATA Meta-conf'!L27/1000</f>
        <v>64.8</v>
      </c>
      <c r="I8" s="160">
        <f>'DATA Meta-conf'!M48*'DATA Meta-conf'!M27/1000</f>
        <v>64.152</v>
      </c>
      <c r="J8" s="160">
        <f>'DATA Meta-conf'!N48*'DATA Meta-conf'!N27/1000</f>
        <v>63.51048</v>
      </c>
      <c r="K8" s="160">
        <f>'DATA Meta-conf'!O48*'DATA Meta-conf'!O27/1000</f>
        <v>62.87537519999999</v>
      </c>
      <c r="L8" s="160">
        <f>'DATA Meta-conf'!P48*'DATA Meta-conf'!P27/1000</f>
        <v>62.246621448</v>
      </c>
      <c r="M8" s="159">
        <f>'DATA Meta-conf'!Q48*'DATA Meta-conf'!Q27/1000</f>
        <v>61.62415523351999</v>
      </c>
      <c r="N8" s="161">
        <f>'DATA Meta-conf'!R48*'DATA Meta-conf'!R27/1000</f>
        <v>61.0079136811848</v>
      </c>
      <c r="O8" s="159">
        <f>'DATA Meta-conf'!S48*'DATA Meta-conf'!S27/1000</f>
        <v>60.39783454437295</v>
      </c>
      <c r="P8" s="160">
        <f>'DATA Meta-conf'!T48*'DATA Meta-conf'!T27/1000</f>
        <v>59.79385619892922</v>
      </c>
      <c r="Q8" s="160">
        <f>'DATA Meta-conf'!U48*'DATA Meta-conf'!U27/1000</f>
        <v>59.19591763693993</v>
      </c>
      <c r="R8" s="160">
        <f>'DATA Meta-conf'!V48*'DATA Meta-conf'!V27/1000</f>
        <v>58.60395846057053</v>
      </c>
      <c r="S8" s="161">
        <f>'DATA Meta-conf'!W48*'DATA Meta-conf'!W27/1000</f>
        <v>58.017918875964824</v>
      </c>
    </row>
    <row r="9" spans="1:19" ht="15" customHeight="1">
      <c r="A9" s="362" t="s">
        <v>79</v>
      </c>
      <c r="B9" s="160">
        <f>'DATA Meta-conf'!F49*'DATA Meta-conf'!F28/1000</f>
        <v>20.86732748137551</v>
      </c>
      <c r="C9" s="160">
        <f>'DATA Meta-conf'!G49*'DATA Meta-conf'!G28/1000</f>
        <v>21.28467403100302</v>
      </c>
      <c r="D9" s="160">
        <f>'DATA Meta-conf'!H49*'DATA Meta-conf'!H28/1000</f>
        <v>21.710367511623083</v>
      </c>
      <c r="E9" s="160">
        <f>'DATA Meta-conf'!I49*'DATA Meta-conf'!I28/1000</f>
        <v>22.14457486185555</v>
      </c>
      <c r="F9" s="160">
        <f>'DATA Meta-conf'!J49*'DATA Meta-conf'!J28/1000</f>
        <v>22.58746635909266</v>
      </c>
      <c r="G9" s="160">
        <f>'DATA Meta-conf'!K49*'DATA Meta-conf'!K28/1000</f>
        <v>23.03921568627451</v>
      </c>
      <c r="H9" s="160">
        <f>'DATA Meta-conf'!L49*'DATA Meta-conf'!L28/1000</f>
        <v>23.5</v>
      </c>
      <c r="I9" s="160">
        <f>'DATA Meta-conf'!M49*'DATA Meta-conf'!M28/1000</f>
        <v>23.735</v>
      </c>
      <c r="J9" s="160">
        <f>'DATA Meta-conf'!N49*'DATA Meta-conf'!N28/1000</f>
        <v>23.972350000000002</v>
      </c>
      <c r="K9" s="160">
        <f>'DATA Meta-conf'!O49*'DATA Meta-conf'!O28/1000</f>
        <v>24.2120735</v>
      </c>
      <c r="L9" s="160">
        <f>'DATA Meta-conf'!P49*'DATA Meta-conf'!P28/1000</f>
        <v>24.454194235</v>
      </c>
      <c r="M9" s="159">
        <f>'DATA Meta-conf'!Q49*'DATA Meta-conf'!Q28/1000</f>
        <v>24.698736177349996</v>
      </c>
      <c r="N9" s="161">
        <f>'DATA Meta-conf'!R49*'DATA Meta-conf'!R28/1000</f>
        <v>24.9457235391235</v>
      </c>
      <c r="O9" s="159">
        <f>'DATA Meta-conf'!S49*'DATA Meta-conf'!S28/1000</f>
        <v>25.195180774514732</v>
      </c>
      <c r="P9" s="160">
        <f>'DATA Meta-conf'!T49*'DATA Meta-conf'!T28/1000</f>
        <v>25.447132582259876</v>
      </c>
      <c r="Q9" s="160">
        <f>'DATA Meta-conf'!U49*'DATA Meta-conf'!U28/1000</f>
        <v>25.70160390808248</v>
      </c>
      <c r="R9" s="160">
        <f>'DATA Meta-conf'!V49*'DATA Meta-conf'!V28/1000</f>
        <v>25.958619947163303</v>
      </c>
      <c r="S9" s="161">
        <f>'DATA Meta-conf'!W49*'DATA Meta-conf'!W28/1000</f>
        <v>26.218206146634937</v>
      </c>
    </row>
    <row r="10" spans="1:19" ht="15" customHeight="1">
      <c r="A10" s="362" t="s">
        <v>81</v>
      </c>
      <c r="B10" s="160">
        <f>'DATA Meta-conf'!F50*'DATA Meta-conf'!F29/1000</f>
        <v>16.82656110682686</v>
      </c>
      <c r="C10" s="160">
        <f>'DATA Meta-conf'!G50*'DATA Meta-conf'!G29/1000</f>
        <v>17.657793225504108</v>
      </c>
      <c r="D10" s="160">
        <f>'DATA Meta-conf'!H50*'DATA Meta-conf'!H29/1000</f>
        <v>18.530088210844013</v>
      </c>
      <c r="E10" s="160">
        <f>'DATA Meta-conf'!I50*'DATA Meta-conf'!I29/1000</f>
        <v>19.44547456845971</v>
      </c>
      <c r="F10" s="160">
        <f>'DATA Meta-conf'!J50*'DATA Meta-conf'!J29/1000</f>
        <v>20.40608101214162</v>
      </c>
      <c r="G10" s="160">
        <f>'DATA Meta-conf'!K50*'DATA Meta-conf'!K29/1000</f>
        <v>21.313131313131315</v>
      </c>
      <c r="H10" s="160">
        <f>'DATA Meta-conf'!L50*'DATA Meta-conf'!L29/1000</f>
        <v>22.1</v>
      </c>
      <c r="I10" s="160">
        <f>'DATA Meta-conf'!M50*'DATA Meta-conf'!M29/1000</f>
        <v>22.09116</v>
      </c>
      <c r="J10" s="160">
        <f>'DATA Meta-conf'!N50*'DATA Meta-conf'!N29/1000</f>
        <v>22.082323536</v>
      </c>
      <c r="K10" s="160">
        <f>'DATA Meta-conf'!O50*'DATA Meta-conf'!O29/1000</f>
        <v>22.073490606585597</v>
      </c>
      <c r="L10" s="160">
        <f>'DATA Meta-conf'!P50*'DATA Meta-conf'!P29/1000</f>
        <v>22.064661210342965</v>
      </c>
      <c r="M10" s="159">
        <f>'DATA Meta-conf'!Q50*'DATA Meta-conf'!Q29/1000</f>
        <v>22.055835345858828</v>
      </c>
      <c r="N10" s="161">
        <f>'DATA Meta-conf'!R50*'DATA Meta-conf'!R29/1000</f>
        <v>22.047013011720487</v>
      </c>
      <c r="O10" s="159">
        <f>'DATA Meta-conf'!S50*'DATA Meta-conf'!S29/1000</f>
        <v>22.0381942065158</v>
      </c>
      <c r="P10" s="160">
        <f>'DATA Meta-conf'!T50*'DATA Meta-conf'!T29/1000</f>
        <v>22.029378928833193</v>
      </c>
      <c r="Q10" s="160">
        <f>'DATA Meta-conf'!U50*'DATA Meta-conf'!U29/1000</f>
        <v>22.020567177261658</v>
      </c>
      <c r="R10" s="160">
        <f>'DATA Meta-conf'!V50*'DATA Meta-conf'!V29/1000</f>
        <v>22.011758950390753</v>
      </c>
      <c r="S10" s="161">
        <f>'DATA Meta-conf'!W50*'DATA Meta-conf'!W29/1000</f>
        <v>22.002954246810596</v>
      </c>
    </row>
    <row r="11" spans="1:19" ht="15" customHeight="1">
      <c r="A11" s="362" t="s">
        <v>326</v>
      </c>
      <c r="B11" s="160">
        <f>'DATA Meta-conf'!F51*'DATA Meta-conf'!F30/1000</f>
        <v>53.624755952641785</v>
      </c>
      <c r="C11" s="160">
        <f>'DATA Meta-conf'!G51*'DATA Meta-conf'!G30/1000</f>
        <v>63.11633775625939</v>
      </c>
      <c r="D11" s="160">
        <f>'DATA Meta-conf'!H51*'DATA Meta-conf'!H30/1000</f>
        <v>74.28792953911729</v>
      </c>
      <c r="E11" s="160">
        <f>'DATA Meta-conf'!I51*'DATA Meta-conf'!I30/1000</f>
        <v>87.43689306754108</v>
      </c>
      <c r="F11" s="160">
        <f>'DATA Meta-conf'!J51*'DATA Meta-conf'!J30/1000</f>
        <v>102.91322314049586</v>
      </c>
      <c r="G11" s="160">
        <f>'DATA Meta-conf'!K51*'DATA Meta-conf'!K30/1000</f>
        <v>108.41363636363636</v>
      </c>
      <c r="H11" s="160">
        <f>'DATA Meta-conf'!L51*'DATA Meta-conf'!L30/1000</f>
        <v>116.535</v>
      </c>
      <c r="I11" s="160">
        <f>'DATA Meta-conf'!M51*'DATA Meta-conf'!M30/1000</f>
        <v>115.311</v>
      </c>
      <c r="J11" s="160">
        <f>'DATA Meta-conf'!N51*'DATA Meta-conf'!N30/1000</f>
        <v>125.31422924999998</v>
      </c>
      <c r="K11" s="160">
        <f>'DATA Meta-conf'!O51*'DATA Meta-conf'!O30/1000</f>
        <v>136.1852386374375</v>
      </c>
      <c r="L11" s="160">
        <f>'DATA Meta-conf'!P51*'DATA Meta-conf'!P30/1000</f>
        <v>147.9993080892352</v>
      </c>
      <c r="M11" s="159">
        <f>'DATA Meta-conf'!Q51*'DATA Meta-conf'!Q30/1000</f>
        <v>160.83824806597633</v>
      </c>
      <c r="N11" s="161">
        <f>'DATA Meta-conf'!R51*'DATA Meta-conf'!R30/1000</f>
        <v>174.7909660856998</v>
      </c>
      <c r="O11" s="159" t="e">
        <f>'DATA Meta-conf'!S51*'DATA Meta-conf'!S30/1000</f>
        <v>#REF!</v>
      </c>
      <c r="P11" s="160" t="e">
        <f>'DATA Meta-conf'!T51*'DATA Meta-conf'!T30/1000</f>
        <v>#REF!</v>
      </c>
      <c r="Q11" s="160" t="e">
        <f>'DATA Meta-conf'!U51*'DATA Meta-conf'!U30/1000</f>
        <v>#REF!</v>
      </c>
      <c r="R11" s="160" t="e">
        <f>'DATA Meta-conf'!V51*'DATA Meta-conf'!V30/1000</f>
        <v>#REF!</v>
      </c>
      <c r="S11" s="161" t="e">
        <f>'DATA Meta-conf'!W51*'DATA Meta-conf'!W30/1000</f>
        <v>#REF!</v>
      </c>
    </row>
    <row r="12" spans="1:19" ht="15" customHeight="1">
      <c r="A12" s="362" t="s">
        <v>84</v>
      </c>
      <c r="B12" s="160">
        <f>'DATA Meta-conf'!F52*'DATA Meta-conf'!F31/1000</f>
        <v>23.135689814714418</v>
      </c>
      <c r="C12" s="160">
        <f>'DATA Meta-conf'!G52*'DATA Meta-conf'!G31/1000</f>
        <v>23.922303268414712</v>
      </c>
      <c r="D12" s="160">
        <f>'DATA Meta-conf'!H52*'DATA Meta-conf'!H31/1000</f>
        <v>24.73566157954081</v>
      </c>
      <c r="E12" s="160">
        <f>'DATA Meta-conf'!I52*'DATA Meta-conf'!I31/1000</f>
        <v>25.576674073245197</v>
      </c>
      <c r="F12" s="160">
        <f>'DATA Meta-conf'!J52*'DATA Meta-conf'!J31/1000</f>
        <v>26.446280991735534</v>
      </c>
      <c r="G12" s="160">
        <f>'DATA Meta-conf'!K52*'DATA Meta-conf'!K31/1000</f>
        <v>27.272727272727273</v>
      </c>
      <c r="H12" s="160">
        <f>'DATA Meta-conf'!L52*'DATA Meta-conf'!L31/1000</f>
        <v>29</v>
      </c>
      <c r="I12" s="160">
        <f>'DATA Meta-conf'!M52*'DATA Meta-conf'!M31/1000</f>
        <v>29.5365</v>
      </c>
      <c r="J12" s="160">
        <f>'DATA Meta-conf'!N52*'DATA Meta-conf'!N31/1000</f>
        <v>30.08292525</v>
      </c>
      <c r="K12" s="160">
        <f>'DATA Meta-conf'!O52*'DATA Meta-conf'!O31/1000</f>
        <v>30.639459367124996</v>
      </c>
      <c r="L12" s="160">
        <f>'DATA Meta-conf'!P52*'DATA Meta-conf'!P31/1000</f>
        <v>31.20628936541681</v>
      </c>
      <c r="M12" s="159">
        <f>'DATA Meta-conf'!Q52*'DATA Meta-conf'!Q31/1000</f>
        <v>31.783605718677023</v>
      </c>
      <c r="N12" s="161">
        <f>'DATA Meta-conf'!R52*'DATA Meta-conf'!R31/1000</f>
        <v>32.37160242447255</v>
      </c>
      <c r="O12" s="159">
        <f>'DATA Meta-conf'!S52*'DATA Meta-conf'!S31/1000</f>
        <v>32.97047706932529</v>
      </c>
      <c r="P12" s="160">
        <f>'DATA Meta-conf'!T52*'DATA Meta-conf'!T31/1000</f>
        <v>33.58043089510781</v>
      </c>
      <c r="Q12" s="160">
        <f>'DATA Meta-conf'!U52*'DATA Meta-conf'!U31/1000</f>
        <v>34.201668866667305</v>
      </c>
      <c r="R12" s="160">
        <f>'DATA Meta-conf'!V52*'DATA Meta-conf'!V31/1000</f>
        <v>34.834399740700654</v>
      </c>
      <c r="S12" s="161">
        <f>'DATA Meta-conf'!W52*'DATA Meta-conf'!W31/1000</f>
        <v>35.47883613590362</v>
      </c>
    </row>
    <row r="13" spans="1:19" ht="15" customHeight="1">
      <c r="A13" s="362" t="s">
        <v>86</v>
      </c>
      <c r="B13" s="160">
        <f>'DATA Meta-conf'!F53*'DATA Meta-conf'!F32/1000</f>
        <v>16.675133187623793</v>
      </c>
      <c r="C13" s="160">
        <f>'DATA Meta-conf'!G53*'DATA Meta-conf'!G32/1000</f>
        <v>14.67411720510894</v>
      </c>
      <c r="D13" s="160">
        <f>'DATA Meta-conf'!H53*'DATA Meta-conf'!H32/1000</f>
        <v>12.913223140495866</v>
      </c>
      <c r="E13" s="160">
        <f>'DATA Meta-conf'!I53*'DATA Meta-conf'!I32/1000</f>
        <v>11.363636363636362</v>
      </c>
      <c r="F13" s="160">
        <f>'DATA Meta-conf'!J53*'DATA Meta-conf'!J32/1000</f>
        <v>10</v>
      </c>
      <c r="G13" s="160">
        <f>'DATA Meta-conf'!K53*'DATA Meta-conf'!K32/1000</f>
        <v>9.74</v>
      </c>
      <c r="H13" s="160">
        <f>'DATA Meta-conf'!L53*'DATA Meta-conf'!L32/1000</f>
        <v>8.38</v>
      </c>
      <c r="I13" s="160">
        <f>'DATA Meta-conf'!M53*'DATA Meta-conf'!M32/1000</f>
        <v>7.206799999999999</v>
      </c>
      <c r="J13" s="160">
        <f>'DATA Meta-conf'!N53*'DATA Meta-conf'!N32/1000</f>
        <v>6.197847999999999</v>
      </c>
      <c r="K13" s="160">
        <f>'DATA Meta-conf'!O53*'DATA Meta-conf'!O32/1000</f>
        <v>5.33014928</v>
      </c>
      <c r="L13" s="160">
        <f>'DATA Meta-conf'!P53*'DATA Meta-conf'!P32/1000</f>
        <v>4.583928380799999</v>
      </c>
      <c r="M13" s="159">
        <f>'DATA Meta-conf'!Q53*'DATA Meta-conf'!Q32/1000</f>
        <v>3.942178407487999</v>
      </c>
      <c r="N13" s="161">
        <f>'DATA Meta-conf'!R53*'DATA Meta-conf'!R32/1000</f>
        <v>3.390273430439679</v>
      </c>
      <c r="O13" s="159">
        <f>'DATA Meta-conf'!S53*'DATA Meta-conf'!S32/1000</f>
        <v>2.9156351501781237</v>
      </c>
      <c r="P13" s="160">
        <f>'DATA Meta-conf'!T53*'DATA Meta-conf'!T32/1000</f>
        <v>2.5074462291531865</v>
      </c>
      <c r="Q13" s="160">
        <f>'DATA Meta-conf'!U53*'DATA Meta-conf'!U32/1000</f>
        <v>2.15640375707174</v>
      </c>
      <c r="R13" s="160">
        <f>'DATA Meta-conf'!V53*'DATA Meta-conf'!V32/1000</f>
        <v>1.8545072310816966</v>
      </c>
      <c r="S13" s="161">
        <f>'DATA Meta-conf'!W53*'DATA Meta-conf'!W32/1000</f>
        <v>1.594876218730259</v>
      </c>
    </row>
    <row r="14" spans="1:19" ht="15" customHeight="1">
      <c r="A14" s="362" t="s">
        <v>88</v>
      </c>
      <c r="B14" s="160">
        <f>'DATA Meta-conf'!F54*'DATA Meta-conf'!F33/1000</f>
        <v>0.5134809286238284</v>
      </c>
      <c r="C14" s="160">
        <f>'DATA Meta-conf'!G54*'DATA Meta-conf'!G33/1000</f>
        <v>0.6631606193176743</v>
      </c>
      <c r="D14" s="160">
        <f>'DATA Meta-conf'!H54*'DATA Meta-conf'!H33/1000</f>
        <v>0.8564719398487765</v>
      </c>
      <c r="E14" s="160">
        <f>'DATA Meta-conf'!I54*'DATA Meta-conf'!I33/1000</f>
        <v>1.1061335103146948</v>
      </c>
      <c r="F14" s="160">
        <f>'DATA Meta-conf'!J54*'DATA Meta-conf'!J33/1000</f>
        <v>1.4285714285714284</v>
      </c>
      <c r="G14" s="160">
        <f>'DATA Meta-conf'!K54*'DATA Meta-conf'!K33/1000</f>
        <v>1.7142857142857142</v>
      </c>
      <c r="H14" s="160">
        <f>'DATA Meta-conf'!L54*'DATA Meta-conf'!L33/1000</f>
        <v>2.1</v>
      </c>
      <c r="I14" s="160">
        <f>'DATA Meta-conf'!M54*'DATA Meta-conf'!M33/1000</f>
        <v>2.6901</v>
      </c>
      <c r="J14" s="160">
        <f>'DATA Meta-conf'!N54*'DATA Meta-conf'!N33/1000</f>
        <v>3.4460181000000003</v>
      </c>
      <c r="K14" s="160">
        <f>'DATA Meta-conf'!O54*'DATA Meta-conf'!O33/1000</f>
        <v>4.4143491861</v>
      </c>
      <c r="L14" s="160">
        <f>'DATA Meta-conf'!P54*'DATA Meta-conf'!P33/1000</f>
        <v>5.6547813073941</v>
      </c>
      <c r="M14" s="159">
        <f>'DATA Meta-conf'!Q54*'DATA Meta-conf'!Q33/1000</f>
        <v>7.243774854771843</v>
      </c>
      <c r="N14" s="161">
        <f>'DATA Meta-conf'!R54*'DATA Meta-conf'!R33/1000</f>
        <v>9.279275588962731</v>
      </c>
      <c r="O14" s="159">
        <f>'DATA Meta-conf'!S54*'DATA Meta-conf'!S33/1000</f>
        <v>11.88675202946126</v>
      </c>
      <c r="P14" s="160">
        <f>'DATA Meta-conf'!T54*'DATA Meta-conf'!T33/1000</f>
        <v>15.226929349739875</v>
      </c>
      <c r="Q14" s="160">
        <f>'DATA Meta-conf'!U54*'DATA Meta-conf'!U33/1000</f>
        <v>19.50569649701678</v>
      </c>
      <c r="R14" s="160">
        <f>'DATA Meta-conf'!V54*'DATA Meta-conf'!V33/1000</f>
        <v>24.986797212678493</v>
      </c>
      <c r="S14" s="161">
        <f>'DATA Meta-conf'!W54*'DATA Meta-conf'!W33/1000</f>
        <v>32.008087229441145</v>
      </c>
    </row>
    <row r="15" spans="1:19" ht="15" customHeight="1">
      <c r="A15" s="362" t="s">
        <v>90</v>
      </c>
      <c r="B15" s="160">
        <f>'DATA Meta-conf'!F55*'DATA Meta-conf'!F34/1000</f>
        <v>131.63532048854086</v>
      </c>
      <c r="C15" s="160">
        <f>'DATA Meta-conf'!G55*'DATA Meta-conf'!G34/1000</f>
        <v>144.79885253739494</v>
      </c>
      <c r="D15" s="160">
        <f>'DATA Meta-conf'!H55*'DATA Meta-conf'!H34/1000</f>
        <v>159.27873779113443</v>
      </c>
      <c r="E15" s="160">
        <f>'DATA Meta-conf'!I55*'DATA Meta-conf'!I34/1000</f>
        <v>175.20661157024787</v>
      </c>
      <c r="F15" s="160">
        <f>'DATA Meta-conf'!J55*'DATA Meta-conf'!J34/1000</f>
        <v>192.7272727272727</v>
      </c>
      <c r="G15" s="160">
        <f>'DATA Meta-conf'!K55*'DATA Meta-conf'!K34/1000</f>
        <v>216.81818181818178</v>
      </c>
      <c r="H15" s="160">
        <f>'DATA Meta-conf'!L55*'DATA Meta-conf'!L34/1000</f>
        <v>243.8</v>
      </c>
      <c r="I15" s="160">
        <f>'DATA Meta-conf'!M55*'DATA Meta-conf'!M34/1000</f>
        <v>260.866</v>
      </c>
      <c r="J15" s="160">
        <f>'DATA Meta-conf'!N55*'DATA Meta-conf'!N34/1000</f>
        <v>279.12662</v>
      </c>
      <c r="K15" s="160">
        <f>'DATA Meta-conf'!O55*'DATA Meta-conf'!O34/1000</f>
        <v>298.6654834</v>
      </c>
      <c r="L15" s="160">
        <f>'DATA Meta-conf'!P55*'DATA Meta-conf'!P34/1000</f>
        <v>319.5720672380001</v>
      </c>
      <c r="M15" s="159">
        <f>'DATA Meta-conf'!Q55*'DATA Meta-conf'!Q34/1000</f>
        <v>341.94211194466016</v>
      </c>
      <c r="N15" s="161">
        <f>'DATA Meta-conf'!R55*'DATA Meta-conf'!R34/1000</f>
        <v>365.8780597807863</v>
      </c>
      <c r="O15" s="159">
        <f>'DATA Meta-conf'!S55*'DATA Meta-conf'!S34/1000</f>
        <v>391.48952396544144</v>
      </c>
      <c r="P15" s="160">
        <f>'DATA Meta-conf'!T55*'DATA Meta-conf'!T34/1000</f>
        <v>418.8937906430224</v>
      </c>
      <c r="Q15" s="160">
        <f>'DATA Meta-conf'!U55*'DATA Meta-conf'!U34/1000</f>
        <v>448.21635598803397</v>
      </c>
      <c r="R15" s="160">
        <f>'DATA Meta-conf'!V55*'DATA Meta-conf'!V34/1000</f>
        <v>479.59150090719635</v>
      </c>
      <c r="S15" s="161">
        <f>'DATA Meta-conf'!W55*'DATA Meta-conf'!W34/1000</f>
        <v>513.1629059707002</v>
      </c>
    </row>
    <row r="16" spans="1:19" ht="15" customHeight="1">
      <c r="A16" s="362" t="s">
        <v>92</v>
      </c>
      <c r="B16" s="160">
        <f>'DATA Meta-conf'!F56*'DATA Meta-conf'!F35/1000</f>
        <v>8.496876708272591</v>
      </c>
      <c r="C16" s="160">
        <f>'DATA Meta-conf'!G56*'DATA Meta-conf'!G35/1000</f>
        <v>9.516501913265303</v>
      </c>
      <c r="D16" s="160">
        <f>'DATA Meta-conf'!H56*'DATA Meta-conf'!H35/1000</f>
        <v>10.65848214285714</v>
      </c>
      <c r="E16" s="160">
        <f>'DATA Meta-conf'!I56*'DATA Meta-conf'!I35/1000</f>
        <v>11.9375</v>
      </c>
      <c r="F16" s="160">
        <f>'DATA Meta-conf'!J56*'DATA Meta-conf'!J35/1000</f>
        <v>13.37</v>
      </c>
      <c r="G16" s="160">
        <f>'DATA Meta-conf'!K56*'DATA Meta-conf'!K35/1000</f>
        <v>15</v>
      </c>
      <c r="H16" s="160">
        <f>'DATA Meta-conf'!L56*'DATA Meta-conf'!L35/1000</f>
        <v>16.8</v>
      </c>
      <c r="I16" s="160">
        <f>'DATA Meta-conf'!M56*'DATA Meta-conf'!M35/1000</f>
        <v>17.297280000000004</v>
      </c>
      <c r="J16" s="160">
        <f>'DATA Meta-conf'!N56*'DATA Meta-conf'!N35/1000</f>
        <v>17.809279488000005</v>
      </c>
      <c r="K16" s="160">
        <f>'DATA Meta-conf'!O56*'DATA Meta-conf'!O35/1000</f>
        <v>18.336434160844806</v>
      </c>
      <c r="L16" s="160">
        <f>'DATA Meta-conf'!P56*'DATA Meta-conf'!P35/1000</f>
        <v>18.879192612005813</v>
      </c>
      <c r="M16" s="159">
        <f>'DATA Meta-conf'!Q56*'DATA Meta-conf'!Q35/1000</f>
        <v>19.438016713321186</v>
      </c>
      <c r="N16" s="161">
        <f>'DATA Meta-conf'!R56*'DATA Meta-conf'!R35/1000</f>
        <v>20.013382008035492</v>
      </c>
      <c r="O16" s="159">
        <f>'DATA Meta-conf'!S56*'DATA Meta-conf'!S35/1000</f>
        <v>20.60577811547334</v>
      </c>
      <c r="P16" s="160">
        <f>'DATA Meta-conf'!T56*'DATA Meta-conf'!T35/1000</f>
        <v>21.21570914769135</v>
      </c>
      <c r="Q16" s="160">
        <f>'DATA Meta-conf'!U56*'DATA Meta-conf'!U35/1000</f>
        <v>21.843694138463015</v>
      </c>
      <c r="R16" s="160">
        <f>'DATA Meta-conf'!V56*'DATA Meta-conf'!V35/1000</f>
        <v>22.49026748496152</v>
      </c>
      <c r="S16" s="161">
        <f>'DATA Meta-conf'!W56*'DATA Meta-conf'!W35/1000</f>
        <v>23.155979402516387</v>
      </c>
    </row>
    <row r="17" spans="1:19" ht="15" customHeight="1">
      <c r="A17" s="362" t="s">
        <v>94</v>
      </c>
      <c r="B17" s="160">
        <f>'DATA Meta-conf'!F57*'DATA Meta-conf'!F36/1000</f>
        <v>4.44981948512768</v>
      </c>
      <c r="C17" s="160">
        <f>'DATA Meta-conf'!G57*'DATA Meta-conf'!G36/1000</f>
        <v>4.494317679978957</v>
      </c>
      <c r="D17" s="160">
        <f>'DATA Meta-conf'!H57*'DATA Meta-conf'!H36/1000</f>
        <v>4.539260856778746</v>
      </c>
      <c r="E17" s="160">
        <f>'DATA Meta-conf'!I57*'DATA Meta-conf'!I36/1000</f>
        <v>4.584653465346534</v>
      </c>
      <c r="F17" s="160">
        <f>'DATA Meta-conf'!J57*'DATA Meta-conf'!J36/1000</f>
        <v>4.6305</v>
      </c>
      <c r="G17" s="160">
        <f>'DATA Meta-conf'!K57*'DATA Meta-conf'!K36/1000</f>
        <v>5.04</v>
      </c>
      <c r="H17" s="160">
        <f>'DATA Meta-conf'!L57*'DATA Meta-conf'!L36/1000</f>
        <v>4.44</v>
      </c>
      <c r="I17" s="160">
        <f>'DATA Meta-conf'!M57*'DATA Meta-conf'!M36/1000</f>
        <v>4.61538</v>
      </c>
      <c r="J17" s="160">
        <f>'DATA Meta-conf'!N57*'DATA Meta-conf'!N36/1000</f>
        <v>4.79768751</v>
      </c>
      <c r="K17" s="160">
        <f>'DATA Meta-conf'!O57*'DATA Meta-conf'!O36/1000</f>
        <v>4.987196166645001</v>
      </c>
      <c r="L17" s="160">
        <f>'DATA Meta-conf'!P57*'DATA Meta-conf'!P36/1000</f>
        <v>5.184190415227478</v>
      </c>
      <c r="M17" s="159">
        <f>'DATA Meta-conf'!Q57*'DATA Meta-conf'!Q36/1000</f>
        <v>5.3889659366289635</v>
      </c>
      <c r="N17" s="161">
        <f>'DATA Meta-conf'!R57*'DATA Meta-conf'!R36/1000</f>
        <v>5.601830091125809</v>
      </c>
      <c r="O17" s="159">
        <f>'DATA Meta-conf'!S57*'DATA Meta-conf'!S36/1000</f>
        <v>5.823102379725278</v>
      </c>
      <c r="P17" s="160">
        <f>'DATA Meta-conf'!T57*'DATA Meta-conf'!T36/1000</f>
        <v>6.0531149237244275</v>
      </c>
      <c r="Q17" s="160">
        <f>'DATA Meta-conf'!U57*'DATA Meta-conf'!U36/1000</f>
        <v>6.292212963211542</v>
      </c>
      <c r="R17" s="160">
        <f>'DATA Meta-conf'!V57*'DATA Meta-conf'!V36/1000</f>
        <v>6.540755375258399</v>
      </c>
      <c r="S17" s="161">
        <f>'DATA Meta-conf'!W57*'DATA Meta-conf'!W36/1000</f>
        <v>6.799115212581107</v>
      </c>
    </row>
    <row r="18" spans="1:19" ht="15" customHeight="1">
      <c r="A18" s="362" t="s">
        <v>96</v>
      </c>
      <c r="B18" s="160">
        <f>'DATA Meta-conf'!F58*'DATA Meta-conf'!F37/1000</f>
        <v>8.4</v>
      </c>
      <c r="C18" s="160">
        <f>'DATA Meta-conf'!G58*'DATA Meta-conf'!G37/1000</f>
        <v>8.4</v>
      </c>
      <c r="D18" s="160">
        <f>'DATA Meta-conf'!H58*'DATA Meta-conf'!H37/1000</f>
        <v>8.4</v>
      </c>
      <c r="E18" s="160">
        <f>'DATA Meta-conf'!I58*'DATA Meta-conf'!I37/1000</f>
        <v>8.4</v>
      </c>
      <c r="F18" s="160">
        <f>'DATA Meta-conf'!J58*'DATA Meta-conf'!J37/1000</f>
        <v>8.4</v>
      </c>
      <c r="G18" s="160">
        <f>'DATA Meta-conf'!K58*'DATA Meta-conf'!K37/1000</f>
        <v>8.4</v>
      </c>
      <c r="H18" s="160">
        <f>'DATA Meta-conf'!L58*'DATA Meta-conf'!L37/1000</f>
        <v>8.4</v>
      </c>
      <c r="I18" s="160">
        <f>'DATA Meta-conf'!M58*'DATA Meta-conf'!M37/1000</f>
        <v>8.316</v>
      </c>
      <c r="J18" s="160">
        <f>'DATA Meta-conf'!N58*'DATA Meta-conf'!N37/1000</f>
        <v>8.23284</v>
      </c>
      <c r="K18" s="160">
        <f>'DATA Meta-conf'!O58*'DATA Meta-conf'!O37/1000</f>
        <v>8.1505116</v>
      </c>
      <c r="L18" s="160">
        <f>'DATA Meta-conf'!P58*'DATA Meta-conf'!P37/1000</f>
        <v>8.069006483999999</v>
      </c>
      <c r="M18" s="159">
        <f>'DATA Meta-conf'!Q58*'DATA Meta-conf'!Q37/1000</f>
        <v>7.988316419159999</v>
      </c>
      <c r="N18" s="161">
        <f>'DATA Meta-conf'!R58*'DATA Meta-conf'!R37/1000</f>
        <v>7.9084332549684</v>
      </c>
      <c r="O18" s="159">
        <f>'DATA Meta-conf'!S58*'DATA Meta-conf'!S37/1000</f>
        <v>7.829348922418716</v>
      </c>
      <c r="P18" s="160">
        <f>'DATA Meta-conf'!T58*'DATA Meta-conf'!T37/1000</f>
        <v>7.751055433194528</v>
      </c>
      <c r="Q18" s="160">
        <f>'DATA Meta-conf'!U58*'DATA Meta-conf'!U37/1000</f>
        <v>7.673544878862583</v>
      </c>
      <c r="R18" s="160">
        <f>'DATA Meta-conf'!V58*'DATA Meta-conf'!V37/1000</f>
        <v>7.596809430073957</v>
      </c>
      <c r="S18" s="161">
        <f>'DATA Meta-conf'!W58*'DATA Meta-conf'!W37/1000</f>
        <v>7.520841335773219</v>
      </c>
    </row>
    <row r="19" spans="1:19" ht="15" customHeight="1">
      <c r="A19" s="362" t="s">
        <v>5</v>
      </c>
      <c r="B19" s="160">
        <f>'DATA Meta-conf'!F59*'DATA Meta-conf'!F38/1000</f>
        <v>0</v>
      </c>
      <c r="C19" s="160">
        <f>'DATA Meta-conf'!G59*'DATA Meta-conf'!G38/1000</f>
        <v>0</v>
      </c>
      <c r="D19" s="160">
        <f>'DATA Meta-conf'!H59*'DATA Meta-conf'!H38/1000</f>
        <v>0</v>
      </c>
      <c r="E19" s="160">
        <f>'DATA Meta-conf'!I59*'DATA Meta-conf'!I38/1000</f>
        <v>0</v>
      </c>
      <c r="F19" s="160">
        <f>'DATA Meta-conf'!J59*'DATA Meta-conf'!J38/1000</f>
        <v>0.0980296049406921</v>
      </c>
      <c r="G19" s="160">
        <f>'DATA Meta-conf'!K59*'DATA Meta-conf'!K38/1000</f>
        <v>0.19801980198019803</v>
      </c>
      <c r="H19" s="160">
        <f>'DATA Meta-conf'!L59*'DATA Meta-conf'!L38/1000</f>
        <v>0.3</v>
      </c>
      <c r="I19" s="160">
        <f>'DATA Meta-conf'!M59*'DATA Meta-conf'!M38/1000</f>
        <v>0.51603</v>
      </c>
      <c r="J19" s="160">
        <f>'DATA Meta-conf'!N59*'DATA Meta-conf'!N38/1000</f>
        <v>0.887623203</v>
      </c>
      <c r="K19" s="160">
        <f>'DATA Meta-conf'!O59*'DATA Meta-conf'!O38/1000</f>
        <v>1.5268006714803</v>
      </c>
      <c r="L19" s="160">
        <f>'DATA Meta-conf'!P59*'DATA Meta-conf'!P38/1000</f>
        <v>2.6262498350132635</v>
      </c>
      <c r="M19" s="159">
        <f>'DATA Meta-conf'!Q59*'DATA Meta-conf'!Q38/1000</f>
        <v>4.040984399680549</v>
      </c>
      <c r="N19" s="161">
        <f>'DATA Meta-conf'!R59*'DATA Meta-conf'!R38/1000</f>
        <v>6.217822349098442</v>
      </c>
      <c r="O19" s="159">
        <f>'DATA Meta-conf'!S59*'DATA Meta-conf'!S38/1000</f>
        <v>9.567301167508676</v>
      </c>
      <c r="P19" s="160">
        <f>'DATA Meta-conf'!T59*'DATA Meta-conf'!T38/1000</f>
        <v>14.7211107829552</v>
      </c>
      <c r="Q19" s="160">
        <f>'DATA Meta-conf'!U59*'DATA Meta-conf'!U38/1000</f>
        <v>22.651226180692227</v>
      </c>
      <c r="R19" s="160">
        <f>'DATA Meta-conf'!V59*'DATA Meta-conf'!V38/1000</f>
        <v>34.85321556597095</v>
      </c>
      <c r="S19" s="161">
        <f>'DATA Meta-conf'!W59*'DATA Meta-conf'!W38/1000</f>
        <v>53.628294803902584</v>
      </c>
    </row>
    <row r="20" spans="1:19" ht="15" customHeight="1">
      <c r="A20" s="362" t="s">
        <v>33</v>
      </c>
      <c r="B20" s="160">
        <f>'DATA Meta-conf'!F60*'DATA Meta-conf'!F39/1000</f>
        <v>0</v>
      </c>
      <c r="C20" s="160">
        <f>'DATA Meta-conf'!G60*'DATA Meta-conf'!G39/1000</f>
        <v>0</v>
      </c>
      <c r="D20" s="160">
        <f>'DATA Meta-conf'!H60*'DATA Meta-conf'!H39/1000</f>
        <v>0</v>
      </c>
      <c r="E20" s="160">
        <f>'DATA Meta-conf'!I60*'DATA Meta-conf'!I39/1000</f>
        <v>0</v>
      </c>
      <c r="F20" s="160">
        <f>'DATA Meta-conf'!J60*'DATA Meta-conf'!J39/1000</f>
        <v>6.032613818456028</v>
      </c>
      <c r="G20" s="160">
        <f>'DATA Meta-conf'!K60*'DATA Meta-conf'!K39/1000</f>
        <v>9.70873786407767</v>
      </c>
      <c r="H20" s="160">
        <f>'DATA Meta-conf'!L60*'DATA Meta-conf'!L39/1000</f>
        <v>11.2</v>
      </c>
      <c r="I20" s="160">
        <f>'DATA Meta-conf'!M60*'DATA Meta-conf'!M39/1000</f>
        <v>13.72784</v>
      </c>
      <c r="J20" s="160">
        <f>'DATA Meta-conf'!N60*'DATA Meta-conf'!N39/1000</f>
        <v>16.826213488</v>
      </c>
      <c r="K20" s="160">
        <f>'DATA Meta-conf'!O60*'DATA Meta-conf'!O39/1000</f>
        <v>20.6238898722416</v>
      </c>
      <c r="L20" s="160">
        <f>'DATA Meta-conf'!P60*'DATA Meta-conf'!P39/1000</f>
        <v>25.27870181640653</v>
      </c>
      <c r="M20" s="159">
        <f>'DATA Meta-conf'!Q60*'DATA Meta-conf'!Q39/1000</f>
        <v>30.98410481636948</v>
      </c>
      <c r="N20" s="161">
        <f>'DATA Meta-conf'!R60*'DATA Meta-conf'!R39/1000</f>
        <v>37.97721727342407</v>
      </c>
      <c r="O20" s="159">
        <f>'DATA Meta-conf'!S60*'DATA Meta-conf'!S39/1000</f>
        <v>46.54867521203589</v>
      </c>
      <c r="P20" s="160">
        <f>'DATA Meta-conf'!T60*'DATA Meta-conf'!T39/1000</f>
        <v>57.05471120739239</v>
      </c>
      <c r="Q20" s="160">
        <f>'DATA Meta-conf'!U60*'DATA Meta-conf'!U39/1000</f>
        <v>69.93195952690084</v>
      </c>
      <c r="R20" s="160">
        <f>'DATA Meta-conf'!V60*'DATA Meta-conf'!V39/1000</f>
        <v>85.71560279212237</v>
      </c>
      <c r="S20" s="161">
        <f>'DATA Meta-conf'!W60*'DATA Meta-conf'!W39/1000</f>
        <v>105.06161434230438</v>
      </c>
    </row>
    <row r="21" spans="1:19" ht="15" customHeight="1">
      <c r="A21" s="362" t="s">
        <v>101</v>
      </c>
      <c r="B21" s="160">
        <f>'DATA Meta-conf'!F61*'DATA Meta-conf'!F40/1000</f>
        <v>0</v>
      </c>
      <c r="C21" s="160">
        <f>'DATA Meta-conf'!G61*'DATA Meta-conf'!G40/1000</f>
        <v>2.017994299942253</v>
      </c>
      <c r="D21" s="160">
        <f>'DATA Meta-conf'!H61*'DATA Meta-conf'!H40/1000</f>
        <v>2.3973772283313974</v>
      </c>
      <c r="E21" s="160">
        <f>'DATA Meta-conf'!I61*'DATA Meta-conf'!I40/1000</f>
        <v>2.9301277235161525</v>
      </c>
      <c r="F21" s="160">
        <f>'DATA Meta-conf'!J61*'DATA Meta-conf'!J40/1000</f>
        <v>3.438016528925619</v>
      </c>
      <c r="G21" s="160">
        <f>'DATA Meta-conf'!K61*'DATA Meta-conf'!K40/1000</f>
        <v>4.136363636363636</v>
      </c>
      <c r="H21" s="160">
        <f>'DATA Meta-conf'!L61*'DATA Meta-conf'!L40/1000</f>
        <v>4.94</v>
      </c>
      <c r="I21" s="160">
        <f>'DATA Meta-conf'!M61*'DATA Meta-conf'!M40/1000</f>
        <v>5.814379999999999</v>
      </c>
      <c r="J21" s="160">
        <f>'DATA Meta-conf'!N61*'DATA Meta-conf'!N40/1000</f>
        <v>6.843525260000001</v>
      </c>
      <c r="K21" s="160">
        <f>'DATA Meta-conf'!O61*'DATA Meta-conf'!O40/1000</f>
        <v>8.054829231020003</v>
      </c>
      <c r="L21" s="160">
        <f>'DATA Meta-conf'!P61*'DATA Meta-conf'!P40/1000</f>
        <v>9.480534004910544</v>
      </c>
      <c r="M21" s="159">
        <f>'DATA Meta-conf'!Q61*'DATA Meta-conf'!Q40/1000</f>
        <v>11.158588523779711</v>
      </c>
      <c r="N21" s="161">
        <f>'DATA Meta-conf'!R61*'DATA Meta-conf'!R40/1000</f>
        <v>13.133658692488721</v>
      </c>
      <c r="O21" s="159">
        <f>'DATA Meta-conf'!S61*'DATA Meta-conf'!S40/1000</f>
        <v>15.45831628105923</v>
      </c>
      <c r="P21" s="160">
        <f>'DATA Meta-conf'!T61*'DATA Meta-conf'!T40/1000</f>
        <v>18.194438262806713</v>
      </c>
      <c r="Q21" s="160">
        <f>'DATA Meta-conf'!U61*'DATA Meta-conf'!U40/1000</f>
        <v>21.41485383532351</v>
      </c>
      <c r="R21" s="160">
        <f>'DATA Meta-conf'!V61*'DATA Meta-conf'!V40/1000</f>
        <v>25.205282964175773</v>
      </c>
      <c r="S21" s="161">
        <f>'DATA Meta-conf'!W61*'DATA Meta-conf'!W40/1000</f>
        <v>29.666618048834884</v>
      </c>
    </row>
    <row r="22" spans="1:19" ht="15" customHeight="1">
      <c r="A22" s="363" t="s">
        <v>16</v>
      </c>
      <c r="B22" s="220">
        <f>'DATA Meta-conf'!F62*'DATA Meta-conf'!F41/1000</f>
        <v>0</v>
      </c>
      <c r="C22" s="220">
        <f>'DATA Meta-conf'!G62*'DATA Meta-conf'!G41/1000</f>
        <v>0.04313043921920819</v>
      </c>
      <c r="D22" s="220">
        <f>'DATA Meta-conf'!H62*'DATA Meta-conf'!H41/1000</f>
        <v>0.13327305718735333</v>
      </c>
      <c r="E22" s="220">
        <f>'DATA Meta-conf'!I62*'DATA Meta-conf'!I41/1000</f>
        <v>0.22878541483828985</v>
      </c>
      <c r="F22" s="220">
        <f>'DATA Meta-conf'!J62*'DATA Meta-conf'!J41/1000</f>
        <v>0.47129795456687706</v>
      </c>
      <c r="G22" s="220">
        <f>'DATA Meta-conf'!K62*'DATA Meta-conf'!K41/1000</f>
        <v>0.7766990291262136</v>
      </c>
      <c r="H22" s="220">
        <f>'DATA Meta-conf'!L62*'DATA Meta-conf'!L41/1000</f>
        <v>1.25</v>
      </c>
      <c r="I22" s="220">
        <f>'DATA Meta-conf'!M62*'DATA Meta-conf'!M41/1000</f>
        <v>1.6065</v>
      </c>
      <c r="J22" s="220">
        <f>'DATA Meta-conf'!N62*'DATA Meta-conf'!N41/1000</f>
        <v>2.0646738</v>
      </c>
      <c r="K22" s="220">
        <f>'DATA Meta-conf'!O62*'DATA Meta-conf'!O41/1000</f>
        <v>2.65351876776</v>
      </c>
      <c r="L22" s="220">
        <f>'DATA Meta-conf'!P62*'DATA Meta-conf'!P41/1000</f>
        <v>3.410302320325152</v>
      </c>
      <c r="M22" s="219">
        <f>'DATA Meta-conf'!Q62*'DATA Meta-conf'!Q41/1000</f>
        <v>4.3829205420818855</v>
      </c>
      <c r="N22" s="222">
        <f>'DATA Meta-conf'!R62*'DATA Meta-conf'!R41/1000</f>
        <v>5.632929480683639</v>
      </c>
      <c r="O22" s="159">
        <f>'DATA Meta-conf'!S62*'DATA Meta-conf'!S41/1000</f>
        <v>7.2394409685746135</v>
      </c>
      <c r="P22" s="160">
        <f>'DATA Meta-conf'!T62*'DATA Meta-conf'!T41/1000</f>
        <v>9.304129532812095</v>
      </c>
      <c r="Q22" s="160">
        <f>'DATA Meta-conf'!U62*'DATA Meta-conf'!U41/1000</f>
        <v>11.957667275570104</v>
      </c>
      <c r="R22" s="160">
        <f>'DATA Meta-conf'!V62*'DATA Meta-conf'!V41/1000</f>
        <v>15.367993982562696</v>
      </c>
      <c r="S22" s="161">
        <f>'DATA Meta-conf'!W62*'DATA Meta-conf'!W41/1000</f>
        <v>19.75094586638958</v>
      </c>
    </row>
    <row r="23" spans="1:19" ht="15" customHeight="1">
      <c r="A23" s="361" t="s">
        <v>172</v>
      </c>
      <c r="B23" s="163">
        <f aca="true" t="shared" si="0" ref="B23:G24">B49*0.3</f>
        <v>12.154644329861112</v>
      </c>
      <c r="C23" s="163">
        <f t="shared" si="0"/>
        <v>11.548086874999997</v>
      </c>
      <c r="D23" s="163">
        <f t="shared" si="0"/>
        <v>12.939236496516296</v>
      </c>
      <c r="E23" s="163">
        <f t="shared" si="0"/>
        <v>12.534644249999998</v>
      </c>
      <c r="F23" s="163">
        <f t="shared" si="0"/>
        <v>13.0645375</v>
      </c>
      <c r="G23" s="163">
        <f t="shared" si="0"/>
        <v>14.546418</v>
      </c>
      <c r="H23" s="364">
        <f aca="true" t="shared" si="1" ref="H23:H24">H49*0.3</f>
        <v>15.720638984999997</v>
      </c>
      <c r="I23" s="163">
        <f aca="true" t="shared" si="2" ref="I23:S24">I49*0.3</f>
        <v>16.395561472473002</v>
      </c>
      <c r="J23" s="163">
        <f t="shared" si="2"/>
        <v>17.189718833540116</v>
      </c>
      <c r="K23" s="163">
        <f t="shared" si="2"/>
        <v>18.108263655271667</v>
      </c>
      <c r="L23" s="163">
        <f t="shared" si="2"/>
        <v>19.15747648748692</v>
      </c>
      <c r="M23" s="162">
        <f t="shared" si="2"/>
        <v>20.3448085695899</v>
      </c>
      <c r="N23" s="163">
        <f t="shared" si="2"/>
        <v>21.67893540450178</v>
      </c>
      <c r="O23" s="162">
        <f t="shared" si="2"/>
        <v>23.719986440719836</v>
      </c>
      <c r="P23" s="163">
        <f t="shared" si="2"/>
        <v>25.984755597865945</v>
      </c>
      <c r="Q23" s="163">
        <f t="shared" si="2"/>
        <v>28.497056946115702</v>
      </c>
      <c r="R23" s="163">
        <f t="shared" si="2"/>
        <v>31.283302509872815</v>
      </c>
      <c r="S23" s="164">
        <f>S49*0.3</f>
        <v>34.37278645846057</v>
      </c>
    </row>
    <row r="24" spans="1:19" ht="15" customHeight="1">
      <c r="A24" s="363" t="s">
        <v>327</v>
      </c>
      <c r="B24" s="220">
        <f t="shared" si="0"/>
        <v>9.253198529647504</v>
      </c>
      <c r="C24" s="220">
        <f t="shared" si="0"/>
        <v>9.729105154626874</v>
      </c>
      <c r="D24" s="220">
        <f t="shared" si="0"/>
        <v>11.103042384720135</v>
      </c>
      <c r="E24" s="220">
        <f t="shared" si="0"/>
        <v>13.065367322501878</v>
      </c>
      <c r="F24" s="220">
        <f t="shared" si="0"/>
        <v>14.687950124612602</v>
      </c>
      <c r="G24" s="220">
        <f t="shared" si="0"/>
        <v>15.637219609765909</v>
      </c>
      <c r="H24" s="365">
        <f t="shared" si="1"/>
        <v>15.765148419237212</v>
      </c>
      <c r="I24" s="220">
        <f t="shared" si="2"/>
        <v>16.033155942364246</v>
      </c>
      <c r="J24" s="220">
        <f t="shared" si="2"/>
        <v>16.30571959338444</v>
      </c>
      <c r="K24" s="220">
        <f t="shared" si="2"/>
        <v>16.582916826471973</v>
      </c>
      <c r="L24" s="220">
        <f t="shared" si="2"/>
        <v>16.864826412521992</v>
      </c>
      <c r="M24" s="219">
        <f t="shared" si="2"/>
        <v>17.151528461534866</v>
      </c>
      <c r="N24" s="220">
        <f t="shared" si="2"/>
        <v>17.443104445380957</v>
      </c>
      <c r="O24" s="219">
        <f t="shared" si="2"/>
        <v>17.739637220952428</v>
      </c>
      <c r="P24" s="220">
        <f t="shared" si="2"/>
        <v>18.04121105370862</v>
      </c>
      <c r="Q24" s="220">
        <f t="shared" si="2"/>
        <v>18.347911641621664</v>
      </c>
      <c r="R24" s="220">
        <f t="shared" si="2"/>
        <v>18.65982613952923</v>
      </c>
      <c r="S24" s="222">
        <f t="shared" si="2"/>
        <v>18.977043183901223</v>
      </c>
    </row>
    <row r="25" spans="1:19" ht="15" customHeight="1">
      <c r="A25" s="153" t="s">
        <v>328</v>
      </c>
      <c r="B25" s="366">
        <f>SUM(B6:B24)</f>
        <v>475.9553071458097</v>
      </c>
      <c r="C25" s="366">
        <f>SUM(C6:C24)</f>
        <v>497.8238809335922</v>
      </c>
      <c r="D25" s="366">
        <f>SUM(D6:D24)</f>
        <v>524.7230288628889</v>
      </c>
      <c r="E25" s="366">
        <f>SUM(E6:E24)</f>
        <v>554.7182315197635</v>
      </c>
      <c r="F25" s="366">
        <f>SUM(F6:F24)</f>
        <v>596.1994743269064</v>
      </c>
      <c r="G25" s="366">
        <f aca="true" t="shared" si="3" ref="G25:H25">SUM(G6:G24)</f>
        <v>638.013674571089</v>
      </c>
      <c r="H25" s="367">
        <f t="shared" si="3"/>
        <v>681.3533499042373</v>
      </c>
      <c r="I25" s="366">
        <f>SUM(I6:I24)</f>
        <v>702.9999575523373</v>
      </c>
      <c r="J25" s="366">
        <f aca="true" t="shared" si="4" ref="J25:K25">SUM(J6:J24)</f>
        <v>738.663921999327</v>
      </c>
      <c r="K25" s="366">
        <f t="shared" si="4"/>
        <v>778.3983884571014</v>
      </c>
      <c r="L25" s="366">
        <f>SUM(L6:L24)</f>
        <v>822.8375649849067</v>
      </c>
      <c r="M25" s="368">
        <f>SUM(M6:M24)</f>
        <v>872.3636463256438</v>
      </c>
      <c r="N25" s="369">
        <f>SUM(N6:N24)</f>
        <v>928.0537626830865</v>
      </c>
      <c r="O25" s="370" t="e">
        <f aca="true" t="shared" si="5" ref="O25:S25">SUM(O6:O24)</f>
        <v>#REF!</v>
      </c>
      <c r="P25" s="370" t="e">
        <f t="shared" si="5"/>
        <v>#REF!</v>
      </c>
      <c r="Q25" s="370" t="e">
        <f t="shared" si="5"/>
        <v>#REF!</v>
      </c>
      <c r="R25" s="370" t="e">
        <f t="shared" si="5"/>
        <v>#REF!</v>
      </c>
      <c r="S25" s="370" t="e">
        <f t="shared" si="5"/>
        <v>#REF!</v>
      </c>
    </row>
    <row r="29" spans="1:14" ht="15" customHeight="1">
      <c r="A29" s="371"/>
      <c r="B29" s="372"/>
      <c r="C29" s="372"/>
      <c r="D29" s="372"/>
      <c r="E29" s="372"/>
      <c r="F29" s="372"/>
      <c r="G29" s="372"/>
      <c r="H29" s="373"/>
      <c r="I29" s="371"/>
      <c r="J29" s="371"/>
      <c r="K29" s="371"/>
      <c r="L29" s="371"/>
      <c r="M29" s="371"/>
      <c r="N29" s="371"/>
    </row>
    <row r="30" spans="1:14" ht="15" customHeight="1">
      <c r="A30" s="374"/>
      <c r="B30" s="375"/>
      <c r="C30" s="375"/>
      <c r="D30" s="375"/>
      <c r="E30" s="375"/>
      <c r="F30" s="375"/>
      <c r="G30" s="375"/>
      <c r="H30" s="376"/>
      <c r="I30" s="375"/>
      <c r="J30" s="375"/>
      <c r="K30" s="375"/>
      <c r="L30" s="375"/>
      <c r="M30" s="375"/>
      <c r="N30" s="375"/>
    </row>
    <row r="31" spans="1:19" ht="30" customHeight="1">
      <c r="A31" s="151" t="s">
        <v>329</v>
      </c>
      <c r="B31" s="153">
        <v>2013</v>
      </c>
      <c r="C31" s="152">
        <v>2014</v>
      </c>
      <c r="D31" s="152">
        <v>2015</v>
      </c>
      <c r="E31" s="152">
        <v>2016</v>
      </c>
      <c r="F31" s="152">
        <v>2017</v>
      </c>
      <c r="G31" s="152">
        <v>2018</v>
      </c>
      <c r="H31" s="360">
        <v>2019</v>
      </c>
      <c r="I31" s="152">
        <v>2020</v>
      </c>
      <c r="J31" s="152">
        <v>2021</v>
      </c>
      <c r="K31" s="152">
        <v>2022</v>
      </c>
      <c r="L31" s="154">
        <v>2023</v>
      </c>
      <c r="M31" s="153">
        <v>2024</v>
      </c>
      <c r="N31" s="154">
        <v>2025</v>
      </c>
      <c r="O31" s="153">
        <v>2026</v>
      </c>
      <c r="P31" s="152">
        <v>2027</v>
      </c>
      <c r="Q31" s="152">
        <v>2028</v>
      </c>
      <c r="R31" s="152">
        <v>2029</v>
      </c>
      <c r="S31" s="154">
        <v>2030</v>
      </c>
    </row>
    <row r="32" spans="1:19" s="143" customFormat="1" ht="15" customHeight="1">
      <c r="A32" s="155" t="s">
        <v>74</v>
      </c>
      <c r="B32" s="159">
        <f>'DATA Meta-conf'!F25*'DATA Meta-conf'!F66/1000</f>
        <v>194.77318998573043</v>
      </c>
      <c r="C32" s="160">
        <f>'DATA Meta-conf'!G25*'DATA Meta-conf'!G66/1000</f>
        <v>183.08679858658658</v>
      </c>
      <c r="D32" s="160">
        <f>'DATA Meta-conf'!H25*'DATA Meta-conf'!H66/1000</f>
        <v>172.10159067139136</v>
      </c>
      <c r="E32" s="160">
        <f>'DATA Meta-conf'!I25*'DATA Meta-conf'!I66/1000</f>
        <v>161.7754952311079</v>
      </c>
      <c r="F32" s="160">
        <f>'DATA Meta-conf'!J25*'DATA Meta-conf'!J66/1000</f>
        <v>152.0689655172414</v>
      </c>
      <c r="G32" s="160">
        <f>'DATA Meta-conf'!K25*'DATA Meta-conf'!K66/1000</f>
        <v>148.26724137931035</v>
      </c>
      <c r="H32" s="160">
        <f>'DATA Meta-conf'!L25*'DATA Meta-conf'!L66/1000</f>
        <v>144.5605603448276</v>
      </c>
      <c r="I32" s="160">
        <f>'DATA Meta-conf'!M25*'DATA Meta-conf'!M66/1000</f>
        <v>141.66934913793105</v>
      </c>
      <c r="J32" s="160">
        <f>'DATA Meta-conf'!N25*'DATA Meta-conf'!N66/1000</f>
        <v>138.8359621551724</v>
      </c>
      <c r="K32" s="160">
        <f>'DATA Meta-conf'!O25*'DATA Meta-conf'!O66/1000</f>
        <v>136.05924291206895</v>
      </c>
      <c r="L32" s="161">
        <f>'DATA Meta-conf'!P25*'DATA Meta-conf'!P66/1000</f>
        <v>133.33805805382758</v>
      </c>
      <c r="M32" s="159">
        <f>'DATA Meta-conf'!Q25*'DATA Meta-conf'!Q66/1000</f>
        <v>130.67129689275103</v>
      </c>
      <c r="N32" s="161">
        <f>'DATA Meta-conf'!R25*'DATA Meta-conf'!R66/1000</f>
        <v>128.05787095489598</v>
      </c>
      <c r="O32" s="159">
        <f>'DATA Meta-conf'!S25*'DATA Meta-conf'!S66/1000</f>
        <v>125.49671353579807</v>
      </c>
      <c r="P32" s="160">
        <f>'DATA Meta-conf'!T25*'DATA Meta-conf'!T66/1000</f>
        <v>122.9867792650821</v>
      </c>
      <c r="Q32" s="160">
        <f>'DATA Meta-conf'!U25*'DATA Meta-conf'!U66/1000</f>
        <v>120.52704367978046</v>
      </c>
      <c r="R32" s="160">
        <f>'DATA Meta-conf'!V25*'DATA Meta-conf'!V66/1000</f>
        <v>118.11650280618484</v>
      </c>
      <c r="S32" s="161">
        <f>'DATA Meta-conf'!W25*'DATA Meta-conf'!W66/1000</f>
        <v>115.75417275006113</v>
      </c>
    </row>
    <row r="33" spans="1:19" ht="15" customHeight="1">
      <c r="A33" s="155" t="s">
        <v>76</v>
      </c>
      <c r="B33" s="159">
        <f>'DATA Meta-conf'!F26*'DATA Meta-conf'!F67/1000</f>
        <v>148.91148684804372</v>
      </c>
      <c r="C33" s="160">
        <f>'DATA Meta-conf'!G26*'DATA Meta-conf'!G67/1000</f>
        <v>151.77058739552615</v>
      </c>
      <c r="D33" s="160">
        <f>'DATA Meta-conf'!H26*'DATA Meta-conf'!H67/1000</f>
        <v>154.68458267352025</v>
      </c>
      <c r="E33" s="160">
        <f>'DATA Meta-conf'!I26*'DATA Meta-conf'!I67/1000</f>
        <v>157.65452666085187</v>
      </c>
      <c r="F33" s="160">
        <f>'DATA Meta-conf'!J26*'DATA Meta-conf'!J67/1000</f>
        <v>160.68149357274024</v>
      </c>
      <c r="G33" s="160">
        <f>'DATA Meta-conf'!K26*'DATA Meta-conf'!K67/1000</f>
        <v>167.10875331564986</v>
      </c>
      <c r="H33" s="160">
        <f>'DATA Meta-conf'!L26*'DATA Meta-conf'!L67/1000</f>
        <v>173.79310344827587</v>
      </c>
      <c r="I33" s="160">
        <f>'DATA Meta-conf'!M26*'DATA Meta-conf'!M67/1000</f>
        <v>182.48275862068968</v>
      </c>
      <c r="J33" s="160">
        <f>'DATA Meta-conf'!N26*'DATA Meta-conf'!N67/1000</f>
        <v>191.60689655172413</v>
      </c>
      <c r="K33" s="160">
        <f>'DATA Meta-conf'!O26*'DATA Meta-conf'!O67/1000</f>
        <v>201.18724137931036</v>
      </c>
      <c r="L33" s="161">
        <f>'DATA Meta-conf'!P26*'DATA Meta-conf'!P67/1000</f>
        <v>211.24660344827592</v>
      </c>
      <c r="M33" s="159">
        <f>'DATA Meta-conf'!Q26*'DATA Meta-conf'!Q67/1000</f>
        <v>221.80893362068971</v>
      </c>
      <c r="N33" s="161">
        <f>'DATA Meta-conf'!R26*'DATA Meta-conf'!R67/1000</f>
        <v>232.89938030172422</v>
      </c>
      <c r="O33" s="159">
        <f>'DATA Meta-conf'!S26*'DATA Meta-conf'!S67/1000</f>
        <v>244.54434931681044</v>
      </c>
      <c r="P33" s="160">
        <f>'DATA Meta-conf'!T26*'DATA Meta-conf'!T67/1000</f>
        <v>256.77156678265095</v>
      </c>
      <c r="Q33" s="160">
        <f>'DATA Meta-conf'!U26*'DATA Meta-conf'!U67/1000</f>
        <v>269.61014512178355</v>
      </c>
      <c r="R33" s="160">
        <f>'DATA Meta-conf'!V26*'DATA Meta-conf'!V67/1000</f>
        <v>283.0906523778727</v>
      </c>
      <c r="S33" s="161">
        <f>'DATA Meta-conf'!W26*'DATA Meta-conf'!W67/1000</f>
        <v>297.24518499676634</v>
      </c>
    </row>
    <row r="34" spans="1:19" ht="15" customHeight="1">
      <c r="A34" s="155" t="s">
        <v>325</v>
      </c>
      <c r="B34" s="159">
        <f>'DATA Meta-conf'!F27*'DATA Meta-conf'!F68/1000</f>
        <v>201.98008569593298</v>
      </c>
      <c r="C34" s="160">
        <f>'DATA Meta-conf'!G27*'DATA Meta-conf'!G68/1000</f>
        <v>197.9404839820143</v>
      </c>
      <c r="D34" s="160">
        <f>'DATA Meta-conf'!H27*'DATA Meta-conf'!H68/1000</f>
        <v>193.98167430237405</v>
      </c>
      <c r="E34" s="160">
        <f>'DATA Meta-conf'!I27*'DATA Meta-conf'!I68/1000</f>
        <v>190.10204081632654</v>
      </c>
      <c r="F34" s="160">
        <f>'DATA Meta-conf'!J27*'DATA Meta-conf'!J68/1000</f>
        <v>186.3</v>
      </c>
      <c r="G34" s="160">
        <f>'DATA Meta-conf'!K27*'DATA Meta-conf'!K68/1000</f>
        <v>186.3</v>
      </c>
      <c r="H34" s="160">
        <f>'DATA Meta-conf'!L27*'DATA Meta-conf'!L68/1000</f>
        <v>186.3</v>
      </c>
      <c r="I34" s="160">
        <f>'DATA Meta-conf'!M27*'DATA Meta-conf'!M68/1000</f>
        <v>186.3</v>
      </c>
      <c r="J34" s="160">
        <f>'DATA Meta-conf'!N27*'DATA Meta-conf'!N68/1000</f>
        <v>186.3</v>
      </c>
      <c r="K34" s="160">
        <f>'DATA Meta-conf'!O27*'DATA Meta-conf'!O68/1000</f>
        <v>186.3</v>
      </c>
      <c r="L34" s="161">
        <f>'DATA Meta-conf'!P27*'DATA Meta-conf'!P68/1000</f>
        <v>186.3</v>
      </c>
      <c r="M34" s="159">
        <f>'DATA Meta-conf'!Q27*'DATA Meta-conf'!Q68/1000</f>
        <v>186.3</v>
      </c>
      <c r="N34" s="161">
        <f>'DATA Meta-conf'!R27*'DATA Meta-conf'!R68/1000</f>
        <v>186.3</v>
      </c>
      <c r="O34" s="159">
        <f>'DATA Meta-conf'!S27*'DATA Meta-conf'!S68/1000</f>
        <v>186.3</v>
      </c>
      <c r="P34" s="160">
        <f>'DATA Meta-conf'!T27*'DATA Meta-conf'!T68/1000</f>
        <v>186.3</v>
      </c>
      <c r="Q34" s="160">
        <f>'DATA Meta-conf'!U27*'DATA Meta-conf'!U68/1000</f>
        <v>186.3</v>
      </c>
      <c r="R34" s="160">
        <f>'DATA Meta-conf'!V27*'DATA Meta-conf'!V68/1000</f>
        <v>186.3</v>
      </c>
      <c r="S34" s="161">
        <f>'DATA Meta-conf'!W27*'DATA Meta-conf'!W68/1000</f>
        <v>186.3</v>
      </c>
    </row>
    <row r="35" spans="1:19" ht="15" customHeight="1">
      <c r="A35" s="155" t="s">
        <v>79</v>
      </c>
      <c r="B35" s="159">
        <f>'DATA Meta-conf'!F28*'DATA Meta-conf'!F69/1000</f>
        <v>71.95630165991555</v>
      </c>
      <c r="C35" s="160">
        <f>'DATA Meta-conf'!G28*'DATA Meta-conf'!G69/1000</f>
        <v>73.39542769311387</v>
      </c>
      <c r="D35" s="160">
        <f>'DATA Meta-conf'!H28*'DATA Meta-conf'!H69/1000</f>
        <v>74.86333624697615</v>
      </c>
      <c r="E35" s="160">
        <f>'DATA Meta-conf'!I28*'DATA Meta-conf'!I69/1000</f>
        <v>76.36060297191567</v>
      </c>
      <c r="F35" s="160">
        <f>'DATA Meta-conf'!J28*'DATA Meta-conf'!J69/1000</f>
        <v>77.887815031354</v>
      </c>
      <c r="G35" s="160">
        <f>'DATA Meta-conf'!K28*'DATA Meta-conf'!K69/1000</f>
        <v>79.44557133198106</v>
      </c>
      <c r="H35" s="160">
        <f>'DATA Meta-conf'!L28*'DATA Meta-conf'!L69/1000</f>
        <v>81.0344827586207</v>
      </c>
      <c r="I35" s="160">
        <f>'DATA Meta-conf'!M28*'DATA Meta-conf'!M69/1000</f>
        <v>82.65517241379311</v>
      </c>
      <c r="J35" s="160">
        <f>'DATA Meta-conf'!N28*'DATA Meta-conf'!N69/1000</f>
        <v>84.30827586206897</v>
      </c>
      <c r="K35" s="160">
        <f>'DATA Meta-conf'!O28*'DATA Meta-conf'!O69/1000</f>
        <v>85.99444137931035</v>
      </c>
      <c r="L35" s="161">
        <f>'DATA Meta-conf'!P28*'DATA Meta-conf'!P69/1000</f>
        <v>87.71433020689658</v>
      </c>
      <c r="M35" s="159">
        <f>'DATA Meta-conf'!Q28*'DATA Meta-conf'!Q69/1000</f>
        <v>89.46861681103451</v>
      </c>
      <c r="N35" s="161">
        <f>'DATA Meta-conf'!R28*'DATA Meta-conf'!R69/1000</f>
        <v>91.25798914725519</v>
      </c>
      <c r="O35" s="159">
        <f>'DATA Meta-conf'!S28*'DATA Meta-conf'!S69/1000</f>
        <v>93.08314893020031</v>
      </c>
      <c r="P35" s="160">
        <f>'DATA Meta-conf'!T28*'DATA Meta-conf'!T69/1000</f>
        <v>94.9448119088043</v>
      </c>
      <c r="Q35" s="160">
        <f>'DATA Meta-conf'!U28*'DATA Meta-conf'!U69/1000</f>
        <v>96.84370814698039</v>
      </c>
      <c r="R35" s="160">
        <f>'DATA Meta-conf'!V28*'DATA Meta-conf'!V69/1000</f>
        <v>98.78058230992002</v>
      </c>
      <c r="S35" s="161">
        <f>'DATA Meta-conf'!W28*'DATA Meta-conf'!W69/1000</f>
        <v>100.75619395611841</v>
      </c>
    </row>
    <row r="36" spans="1:19" ht="15" customHeight="1">
      <c r="A36" s="155" t="s">
        <v>81</v>
      </c>
      <c r="B36" s="159">
        <f>'DATA Meta-conf'!F29*'DATA Meta-conf'!F70/1000</f>
        <v>54.627149188828994</v>
      </c>
      <c r="C36" s="160">
        <f>'DATA Meta-conf'!G29*'DATA Meta-conf'!G70/1000</f>
        <v>57.90477814015874</v>
      </c>
      <c r="D36" s="160">
        <f>'DATA Meta-conf'!H29*'DATA Meta-conf'!H70/1000</f>
        <v>61.37906482856827</v>
      </c>
      <c r="E36" s="160">
        <f>'DATA Meta-conf'!I29*'DATA Meta-conf'!I70/1000</f>
        <v>65.06180871828238</v>
      </c>
      <c r="F36" s="160">
        <f>'DATA Meta-conf'!J29*'DATA Meta-conf'!J70/1000</f>
        <v>68.96551724137932</v>
      </c>
      <c r="G36" s="160">
        <f>'DATA Meta-conf'!K29*'DATA Meta-conf'!K70/1000</f>
        <v>72.75862068965517</v>
      </c>
      <c r="H36" s="160">
        <f>'DATA Meta-conf'!L29*'DATA Meta-conf'!L70/1000</f>
        <v>76.20689655172414</v>
      </c>
      <c r="I36" s="160">
        <f>'DATA Meta-conf'!M29*'DATA Meta-conf'!M70/1000</f>
        <v>76.95372413793105</v>
      </c>
      <c r="J36" s="160">
        <f>'DATA Meta-conf'!N29*'DATA Meta-conf'!N70/1000</f>
        <v>77.70787063448277</v>
      </c>
      <c r="K36" s="160">
        <f>'DATA Meta-conf'!O29*'DATA Meta-conf'!O70/1000</f>
        <v>78.46940776670071</v>
      </c>
      <c r="L36" s="161">
        <f>'DATA Meta-conf'!P29*'DATA Meta-conf'!P70/1000</f>
        <v>79.23840796281436</v>
      </c>
      <c r="M36" s="159">
        <f>'DATA Meta-conf'!Q29*'DATA Meta-conf'!Q70/1000</f>
        <v>80.01494436084994</v>
      </c>
      <c r="N36" s="161">
        <f>'DATA Meta-conf'!R29*'DATA Meta-conf'!R70/1000</f>
        <v>80.79909081558628</v>
      </c>
      <c r="O36" s="159">
        <f>'DATA Meta-conf'!S29*'DATA Meta-conf'!S70/1000</f>
        <v>81.59092190557904</v>
      </c>
      <c r="P36" s="160">
        <f>'DATA Meta-conf'!T29*'DATA Meta-conf'!T70/1000</f>
        <v>82.3905129402537</v>
      </c>
      <c r="Q36" s="160">
        <f>'DATA Meta-conf'!U29*'DATA Meta-conf'!U70/1000</f>
        <v>83.19793996706818</v>
      </c>
      <c r="R36" s="160">
        <f>'DATA Meta-conf'!V29*'DATA Meta-conf'!V70/1000</f>
        <v>84.01327977874544</v>
      </c>
      <c r="S36" s="161">
        <f>'DATA Meta-conf'!W29*'DATA Meta-conf'!W70/1000</f>
        <v>84.83660992057716</v>
      </c>
    </row>
    <row r="37" spans="1:19" ht="15" customHeight="1">
      <c r="A37" s="155" t="s">
        <v>326</v>
      </c>
      <c r="B37" s="159">
        <f>'DATA Meta-conf'!F30*'DATA Meta-conf'!F71/1000</f>
        <v>175.14009020170656</v>
      </c>
      <c r="C37" s="160">
        <f>'DATA Meta-conf'!G30*'DATA Meta-conf'!G71/1000</f>
        <v>208.01388513256694</v>
      </c>
      <c r="D37" s="160">
        <f>'DATA Meta-conf'!H30*'DATA Meta-conf'!H71/1000</f>
        <v>247.05809137194976</v>
      </c>
      <c r="E37" s="160">
        <f>'DATA Meta-conf'!I30*'DATA Meta-conf'!I71/1000</f>
        <v>293.4308951224648</v>
      </c>
      <c r="F37" s="160">
        <f>'DATA Meta-conf'!J30*'DATA Meta-conf'!J71/1000</f>
        <v>348.50787413695144</v>
      </c>
      <c r="G37" s="160">
        <f>'DATA Meta-conf'!K30*'DATA Meta-conf'!K71/1000</f>
        <v>370.47219633426533</v>
      </c>
      <c r="H37" s="160">
        <f>'DATA Meta-conf'!L30*'DATA Meta-conf'!L71/1000</f>
        <v>401.844827586207</v>
      </c>
      <c r="I37" s="160">
        <f>'DATA Meta-conf'!M30*'DATA Meta-conf'!M71/1000</f>
        <v>401.4110344827587</v>
      </c>
      <c r="J37" s="160">
        <f>'DATA Meta-conf'!N30*'DATA Meta-conf'!N71/1000</f>
        <v>440.38804593103447</v>
      </c>
      <c r="K37" s="160">
        <f>'DATA Meta-conf'!O30*'DATA Meta-conf'!O71/1000</f>
        <v>483.149725190938</v>
      </c>
      <c r="L37" s="161">
        <f>'DATA Meta-conf'!P30*'DATA Meta-conf'!P71/1000</f>
        <v>530.0635635069781</v>
      </c>
      <c r="M37" s="159">
        <f>'DATA Meta-conf'!Q30*'DATA Meta-conf'!Q71/1000</f>
        <v>581.5327355235056</v>
      </c>
      <c r="N37" s="161">
        <f>'DATA Meta-conf'!R30*'DATA Meta-conf'!R71/1000</f>
        <v>637.999564142838</v>
      </c>
      <c r="O37" s="159" t="e">
        <f>'DATA Meta-conf'!S30*'DATA Meta-conf'!S71/1000</f>
        <v>#REF!</v>
      </c>
      <c r="P37" s="160" t="e">
        <f>'DATA Meta-conf'!T30*'DATA Meta-conf'!T71/1000</f>
        <v>#REF!</v>
      </c>
      <c r="Q37" s="160" t="e">
        <f>'DATA Meta-conf'!U30*'DATA Meta-conf'!U71/1000</f>
        <v>#REF!</v>
      </c>
      <c r="R37" s="160" t="e">
        <f>'DATA Meta-conf'!V30*'DATA Meta-conf'!V71/1000</f>
        <v>#REF!</v>
      </c>
      <c r="S37" s="161" t="e">
        <f>'DATA Meta-conf'!W30*'DATA Meta-conf'!W71/1000</f>
        <v>#REF!</v>
      </c>
    </row>
    <row r="38" spans="1:21" ht="15" customHeight="1">
      <c r="A38" s="155" t="s">
        <v>84</v>
      </c>
      <c r="B38" s="159">
        <f>'DATA Meta-conf'!F31*'DATA Meta-conf'!F72/1000</f>
        <v>79.77824074039454</v>
      </c>
      <c r="C38" s="160">
        <f>'DATA Meta-conf'!G31*'DATA Meta-conf'!G72/1000</f>
        <v>82.49070092556796</v>
      </c>
      <c r="D38" s="160">
        <f>'DATA Meta-conf'!H31*'DATA Meta-conf'!H72/1000</f>
        <v>85.29538475703725</v>
      </c>
      <c r="E38" s="160">
        <f>'DATA Meta-conf'!I31*'DATA Meta-conf'!I72/1000</f>
        <v>88.19542783877654</v>
      </c>
      <c r="F38" s="160">
        <f>'DATA Meta-conf'!J31*'DATA Meta-conf'!J72/1000</f>
        <v>91.19407238529494</v>
      </c>
      <c r="G38" s="160">
        <f>'DATA Meta-conf'!K31*'DATA Meta-conf'!K72/1000</f>
        <v>94.04388714733541</v>
      </c>
      <c r="H38" s="160">
        <f>'DATA Meta-conf'!L31*'DATA Meta-conf'!L72/1000</f>
        <v>100</v>
      </c>
      <c r="I38" s="160">
        <f>'DATA Meta-conf'!M31*'DATA Meta-conf'!M72/1000</f>
        <v>101.85000000000001</v>
      </c>
      <c r="J38" s="160">
        <f>'DATA Meta-conf'!N31*'DATA Meta-conf'!N72/1000</f>
        <v>103.73422500000001</v>
      </c>
      <c r="K38" s="160">
        <f>'DATA Meta-conf'!O31*'DATA Meta-conf'!O72/1000</f>
        <v>105.65330816250001</v>
      </c>
      <c r="L38" s="161">
        <f>'DATA Meta-conf'!P31*'DATA Meta-conf'!P72/1000</f>
        <v>107.60789436350626</v>
      </c>
      <c r="M38" s="159">
        <f>'DATA Meta-conf'!Q31*'DATA Meta-conf'!Q72/1000</f>
        <v>109.59864040923112</v>
      </c>
      <c r="N38" s="161">
        <f>'DATA Meta-conf'!R31*'DATA Meta-conf'!R72/1000</f>
        <v>111.62621525680191</v>
      </c>
      <c r="O38" s="159">
        <f>'DATA Meta-conf'!S31*'DATA Meta-conf'!S72/1000</f>
        <v>113.69130023905274</v>
      </c>
      <c r="P38" s="160">
        <f>'DATA Meta-conf'!T31*'DATA Meta-conf'!T72/1000</f>
        <v>115.7945892934752</v>
      </c>
      <c r="Q38" s="160">
        <f>'DATA Meta-conf'!U31*'DATA Meta-conf'!U72/1000</f>
        <v>117.93678919540449</v>
      </c>
      <c r="R38" s="160">
        <f>'DATA Meta-conf'!V31*'DATA Meta-conf'!V72/1000</f>
        <v>120.11861979551949</v>
      </c>
      <c r="S38" s="161">
        <f>'DATA Meta-conf'!W31*'DATA Meta-conf'!W72/1000</f>
        <v>122.3408142617366</v>
      </c>
      <c r="U38" s="143"/>
    </row>
    <row r="39" spans="1:21" ht="15" customHeight="1">
      <c r="A39" s="155" t="s">
        <v>86</v>
      </c>
      <c r="B39" s="159">
        <f>'DATA Meta-conf'!F32*'DATA Meta-conf'!F73/1000</f>
        <v>57.50045926766826</v>
      </c>
      <c r="C39" s="160">
        <f>'DATA Meta-conf'!G32*'DATA Meta-conf'!G73/1000</f>
        <v>50.60040415554807</v>
      </c>
      <c r="D39" s="160">
        <f>'DATA Meta-conf'!H32*'DATA Meta-conf'!H73/1000</f>
        <v>44.5283556568823</v>
      </c>
      <c r="E39" s="160">
        <f>'DATA Meta-conf'!I32*'DATA Meta-conf'!I73/1000</f>
        <v>39.18495297805643</v>
      </c>
      <c r="F39" s="160">
        <f>'DATA Meta-conf'!J32*'DATA Meta-conf'!J73/1000</f>
        <v>34.48275862068966</v>
      </c>
      <c r="G39" s="160">
        <f>'DATA Meta-conf'!K32*'DATA Meta-conf'!K73/1000</f>
        <v>33.58620689655172</v>
      </c>
      <c r="H39" s="160">
        <f>'DATA Meta-conf'!L32*'DATA Meta-conf'!L73/1000</f>
        <v>28.896551724137936</v>
      </c>
      <c r="I39" s="160">
        <f>'DATA Meta-conf'!M32*'DATA Meta-conf'!M73/1000</f>
        <v>24.85103448275862</v>
      </c>
      <c r="J39" s="160">
        <f>'DATA Meta-conf'!N32*'DATA Meta-conf'!N73/1000</f>
        <v>21.371889655172414</v>
      </c>
      <c r="K39" s="160">
        <f>'DATA Meta-conf'!O32*'DATA Meta-conf'!O73/1000</f>
        <v>18.379825103448276</v>
      </c>
      <c r="L39" s="161">
        <f>'DATA Meta-conf'!P32*'DATA Meta-conf'!P73/1000</f>
        <v>15.806649588965517</v>
      </c>
      <c r="M39" s="159">
        <f>'DATA Meta-conf'!Q32*'DATA Meta-conf'!Q73/1000</f>
        <v>13.593718646510343</v>
      </c>
      <c r="N39" s="161">
        <f>'DATA Meta-conf'!R32*'DATA Meta-conf'!R73/1000</f>
        <v>11.690598035998894</v>
      </c>
      <c r="O39" s="159">
        <f>'DATA Meta-conf'!S32*'DATA Meta-conf'!S73/1000</f>
        <v>10.05391431095905</v>
      </c>
      <c r="P39" s="160">
        <f>'DATA Meta-conf'!T32*'DATA Meta-conf'!T73/1000</f>
        <v>8.646366307424781</v>
      </c>
      <c r="Q39" s="160">
        <f>'DATA Meta-conf'!U32*'DATA Meta-conf'!U73/1000</f>
        <v>7.435875024385312</v>
      </c>
      <c r="R39" s="160">
        <f>'DATA Meta-conf'!V32*'DATA Meta-conf'!V73/1000</f>
        <v>6.394852520971368</v>
      </c>
      <c r="S39" s="161">
        <f>'DATA Meta-conf'!W32*'DATA Meta-conf'!W73/1000</f>
        <v>5.499573168035376</v>
      </c>
      <c r="U39" s="143"/>
    </row>
    <row r="40" spans="1:21" ht="15" customHeight="1">
      <c r="A40" s="155" t="s">
        <v>88</v>
      </c>
      <c r="B40" s="159">
        <f>'DATA Meta-conf'!F33*'DATA Meta-conf'!F74/1000</f>
        <v>1.770623891806305</v>
      </c>
      <c r="C40" s="160">
        <f>'DATA Meta-conf'!G33*'DATA Meta-conf'!G74/1000</f>
        <v>2.2867607562678427</v>
      </c>
      <c r="D40" s="160">
        <f>'DATA Meta-conf'!H33*'DATA Meta-conf'!H74/1000</f>
        <v>2.953351516719919</v>
      </c>
      <c r="E40" s="160">
        <f>'DATA Meta-conf'!I33*'DATA Meta-conf'!I74/1000</f>
        <v>3.814253483843775</v>
      </c>
      <c r="F40" s="160">
        <f>'DATA Meta-conf'!J33*'DATA Meta-conf'!J74/1000</f>
        <v>4.926108374384237</v>
      </c>
      <c r="G40" s="160">
        <f>'DATA Meta-conf'!K33*'DATA Meta-conf'!K74/1000</f>
        <v>5.9113300492610845</v>
      </c>
      <c r="H40" s="160">
        <f>'DATA Meta-conf'!L33*'DATA Meta-conf'!L74/1000</f>
        <v>7.241379310344828</v>
      </c>
      <c r="I40" s="160">
        <f>'DATA Meta-conf'!M33*'DATA Meta-conf'!M74/1000</f>
        <v>9.276206896551725</v>
      </c>
      <c r="J40" s="160">
        <f>'DATA Meta-conf'!N33*'DATA Meta-conf'!N74/1000</f>
        <v>11.882821034482758</v>
      </c>
      <c r="K40" s="160">
        <f>'DATA Meta-conf'!O33*'DATA Meta-conf'!O74/1000</f>
        <v>15.221893745172414</v>
      </c>
      <c r="L40" s="161">
        <f>'DATA Meta-conf'!P33*'DATA Meta-conf'!P74/1000</f>
        <v>19.499245887565863</v>
      </c>
      <c r="M40" s="159">
        <f>'DATA Meta-conf'!Q33*'DATA Meta-conf'!Q74/1000</f>
        <v>24.978533981971868</v>
      </c>
      <c r="N40" s="161">
        <f>'DATA Meta-conf'!R33*'DATA Meta-conf'!R74/1000</f>
        <v>31.997502030905967</v>
      </c>
      <c r="O40" s="159">
        <f>'DATA Meta-conf'!S33*'DATA Meta-conf'!S74/1000</f>
        <v>40.98880010159055</v>
      </c>
      <c r="P40" s="160">
        <f>'DATA Meta-conf'!T33*'DATA Meta-conf'!T74/1000</f>
        <v>52.50665293013749</v>
      </c>
      <c r="Q40" s="160">
        <f>'DATA Meta-conf'!U33*'DATA Meta-conf'!U74/1000</f>
        <v>67.26102240350613</v>
      </c>
      <c r="R40" s="160">
        <f>'DATA Meta-conf'!V33*'DATA Meta-conf'!V74/1000</f>
        <v>86.16136969889133</v>
      </c>
      <c r="S40" s="161">
        <f>'DATA Meta-conf'!W33*'DATA Meta-conf'!W74/1000</f>
        <v>110.37271458427979</v>
      </c>
      <c r="U40" s="143"/>
    </row>
    <row r="41" spans="1:21" ht="15" customHeight="1">
      <c r="A41" s="155" t="s">
        <v>90</v>
      </c>
      <c r="B41" s="159">
        <f>'DATA Meta-conf'!F34*'DATA Meta-conf'!F75/1000</f>
        <v>422.22649968022523</v>
      </c>
      <c r="C41" s="160">
        <f>'DATA Meta-conf'!G34*'DATA Meta-conf'!G75/1000</f>
        <v>464.4491496482477</v>
      </c>
      <c r="D41" s="160">
        <f>'DATA Meta-conf'!H34*'DATA Meta-conf'!H75/1000</f>
        <v>510.8940646130726</v>
      </c>
      <c r="E41" s="160">
        <f>'DATA Meta-conf'!I34*'DATA Meta-conf'!I75/1000</f>
        <v>561.98347107438</v>
      </c>
      <c r="F41" s="160">
        <f>'DATA Meta-conf'!J34*'DATA Meta-conf'!J75/1000</f>
        <v>618.181818181818</v>
      </c>
      <c r="G41" s="160">
        <f>'DATA Meta-conf'!K34*'DATA Meta-conf'!K75/1000</f>
        <v>695.4545454545454</v>
      </c>
      <c r="H41" s="160">
        <f>'DATA Meta-conf'!L34*'DATA Meta-conf'!L75/1000</f>
        <v>782</v>
      </c>
      <c r="I41" s="160">
        <f>'DATA Meta-conf'!M34*'DATA Meta-conf'!M75/1000</f>
        <v>844.5600000000002</v>
      </c>
      <c r="J41" s="160">
        <f>'DATA Meta-conf'!N34*'DATA Meta-conf'!N75/1000</f>
        <v>912.1248000000002</v>
      </c>
      <c r="K41" s="160">
        <f>'DATA Meta-conf'!O34*'DATA Meta-conf'!O75/1000</f>
        <v>985.0947840000002</v>
      </c>
      <c r="L41" s="161">
        <f>'DATA Meta-conf'!P34*'DATA Meta-conf'!P75/1000</f>
        <v>1063.9023667200006</v>
      </c>
      <c r="M41" s="159">
        <f>'DATA Meta-conf'!Q34*'DATA Meta-conf'!Q75/1000</f>
        <v>1149.0145560576004</v>
      </c>
      <c r="N41" s="161">
        <f>'DATA Meta-conf'!R34*'DATA Meta-conf'!R75/1000</f>
        <v>1240.9357205422086</v>
      </c>
      <c r="O41" s="159">
        <f>'DATA Meta-conf'!S34*'DATA Meta-conf'!S75/1000</f>
        <v>1340.2105781855855</v>
      </c>
      <c r="P41" s="160">
        <f>'DATA Meta-conf'!T34*'DATA Meta-conf'!T75/1000</f>
        <v>1447.4274244404323</v>
      </c>
      <c r="Q41" s="160">
        <f>'DATA Meta-conf'!U34*'DATA Meta-conf'!U75/1000</f>
        <v>1563.221618395667</v>
      </c>
      <c r="R41" s="160">
        <f>'DATA Meta-conf'!V34*'DATA Meta-conf'!V75/1000</f>
        <v>1688.2793478673204</v>
      </c>
      <c r="S41" s="161">
        <f>'DATA Meta-conf'!W34*'DATA Meta-conf'!W75/1000</f>
        <v>1823.3416956967064</v>
      </c>
      <c r="U41" s="143"/>
    </row>
    <row r="42" spans="1:21" ht="15" customHeight="1">
      <c r="A42" s="155" t="s">
        <v>92</v>
      </c>
      <c r="B42" s="159">
        <f>'DATA Meta-conf'!F35*'DATA Meta-conf'!F76/1000</f>
        <v>29.29957485611239</v>
      </c>
      <c r="C42" s="160">
        <f>'DATA Meta-conf'!G35*'DATA Meta-conf'!G76/1000</f>
        <v>32.815523838845884</v>
      </c>
      <c r="D42" s="160">
        <f>'DATA Meta-conf'!H35*'DATA Meta-conf'!H76/1000</f>
        <v>36.75338669950739</v>
      </c>
      <c r="E42" s="160">
        <f>'DATA Meta-conf'!I35*'DATA Meta-conf'!I76/1000</f>
        <v>41.16379310344828</v>
      </c>
      <c r="F42" s="160">
        <f>'DATA Meta-conf'!J35*'DATA Meta-conf'!J76/1000</f>
        <v>46.10344827586207</v>
      </c>
      <c r="G42" s="160">
        <f>'DATA Meta-conf'!K35*'DATA Meta-conf'!K76/1000</f>
        <v>51.724137931034484</v>
      </c>
      <c r="H42" s="160">
        <f>'DATA Meta-conf'!L35*'DATA Meta-conf'!L76/1000</f>
        <v>57.93103448275863</v>
      </c>
      <c r="I42" s="160">
        <f>'DATA Meta-conf'!M35*'DATA Meta-conf'!M76/1000</f>
        <v>60.24827586206898</v>
      </c>
      <c r="J42" s="160">
        <f>'DATA Meta-conf'!N35*'DATA Meta-conf'!N76/1000</f>
        <v>62.65820689655175</v>
      </c>
      <c r="K42" s="160">
        <f>'DATA Meta-conf'!O35*'DATA Meta-conf'!O76/1000</f>
        <v>65.16453517241382</v>
      </c>
      <c r="L42" s="161">
        <f>'DATA Meta-conf'!P35*'DATA Meta-conf'!P76/1000</f>
        <v>67.77111657931037</v>
      </c>
      <c r="M42" s="159">
        <f>'DATA Meta-conf'!Q35*'DATA Meta-conf'!Q76/1000</f>
        <v>70.4819612424828</v>
      </c>
      <c r="N42" s="161">
        <f>'DATA Meta-conf'!R35*'DATA Meta-conf'!R76/1000</f>
        <v>73.3012396921821</v>
      </c>
      <c r="O42" s="159">
        <f>'DATA Meta-conf'!S35*'DATA Meta-conf'!S76/1000</f>
        <v>76.23328927986938</v>
      </c>
      <c r="P42" s="160">
        <f>'DATA Meta-conf'!T35*'DATA Meta-conf'!T76/1000</f>
        <v>79.28262085106415</v>
      </c>
      <c r="Q42" s="160">
        <f>'DATA Meta-conf'!U35*'DATA Meta-conf'!U76/1000</f>
        <v>82.45392568510674</v>
      </c>
      <c r="R42" s="160">
        <f>'DATA Meta-conf'!V35*'DATA Meta-conf'!V76/1000</f>
        <v>85.75208271251101</v>
      </c>
      <c r="S42" s="161">
        <f>'DATA Meta-conf'!W35*'DATA Meta-conf'!W76/1000</f>
        <v>89.18216602101145</v>
      </c>
      <c r="U42" s="143"/>
    </row>
    <row r="43" spans="1:21" ht="15" customHeight="1">
      <c r="A43" s="155" t="s">
        <v>94</v>
      </c>
      <c r="B43" s="159">
        <f>'DATA Meta-conf'!F36*'DATA Meta-conf'!F77/1000</f>
        <v>15.344205121129932</v>
      </c>
      <c r="C43" s="160">
        <f>'DATA Meta-conf'!G36*'DATA Meta-conf'!G77/1000</f>
        <v>15.497647172341232</v>
      </c>
      <c r="D43" s="160">
        <f>'DATA Meta-conf'!H36*'DATA Meta-conf'!H77/1000</f>
        <v>15.652623644064644</v>
      </c>
      <c r="E43" s="160">
        <f>'DATA Meta-conf'!I36*'DATA Meta-conf'!I77/1000</f>
        <v>15.809149880505291</v>
      </c>
      <c r="F43" s="160">
        <f>'DATA Meta-conf'!J36*'DATA Meta-conf'!J77/1000</f>
        <v>15.967241379310344</v>
      </c>
      <c r="G43" s="160">
        <f>'DATA Meta-conf'!K36*'DATA Meta-conf'!K77/1000</f>
        <v>17.379310344827587</v>
      </c>
      <c r="H43" s="160">
        <f>'DATA Meta-conf'!L36*'DATA Meta-conf'!L77/1000</f>
        <v>15.310344827586206</v>
      </c>
      <c r="I43" s="160">
        <f>'DATA Meta-conf'!M36*'DATA Meta-conf'!M77/1000</f>
        <v>16.075862068965517</v>
      </c>
      <c r="J43" s="160">
        <f>'DATA Meta-conf'!N36*'DATA Meta-conf'!N77/1000</f>
        <v>16.879655172413795</v>
      </c>
      <c r="K43" s="160">
        <f>'DATA Meta-conf'!O36*'DATA Meta-conf'!O77/1000</f>
        <v>17.723637931034485</v>
      </c>
      <c r="L43" s="161">
        <f>'DATA Meta-conf'!P36*'DATA Meta-conf'!P77/1000</f>
        <v>18.609819827586207</v>
      </c>
      <c r="M43" s="159">
        <f>'DATA Meta-conf'!Q36*'DATA Meta-conf'!Q77/1000</f>
        <v>19.540310818965523</v>
      </c>
      <c r="N43" s="161">
        <f>'DATA Meta-conf'!R36*'DATA Meta-conf'!R77/1000</f>
        <v>20.517326359913802</v>
      </c>
      <c r="O43" s="159">
        <f>'DATA Meta-conf'!S36*'DATA Meta-conf'!S77/1000</f>
        <v>21.54319267790949</v>
      </c>
      <c r="P43" s="160">
        <f>'DATA Meta-conf'!T36*'DATA Meta-conf'!T77/1000</f>
        <v>22.620352311804965</v>
      </c>
      <c r="Q43" s="160">
        <f>'DATA Meta-conf'!U36*'DATA Meta-conf'!U77/1000</f>
        <v>23.751369927395213</v>
      </c>
      <c r="R43" s="160">
        <f>'DATA Meta-conf'!V36*'DATA Meta-conf'!V77/1000</f>
        <v>24.93893842376498</v>
      </c>
      <c r="S43" s="161">
        <f>'DATA Meta-conf'!W36*'DATA Meta-conf'!W77/1000</f>
        <v>26.185885344953228</v>
      </c>
      <c r="U43" s="143"/>
    </row>
    <row r="44" spans="1:21" ht="15" customHeight="1">
      <c r="A44" s="155" t="s">
        <v>96</v>
      </c>
      <c r="B44" s="159">
        <f>'DATA Meta-conf'!F37*'DATA Meta-conf'!F78/1000</f>
        <v>28.965517241379313</v>
      </c>
      <c r="C44" s="160">
        <f>'DATA Meta-conf'!G37*'DATA Meta-conf'!G78/1000</f>
        <v>28.965517241379313</v>
      </c>
      <c r="D44" s="160">
        <f>'DATA Meta-conf'!H37*'DATA Meta-conf'!H78/1000</f>
        <v>28.965517241379313</v>
      </c>
      <c r="E44" s="160">
        <f>'DATA Meta-conf'!I37*'DATA Meta-conf'!I78/1000</f>
        <v>28.965517241379313</v>
      </c>
      <c r="F44" s="160">
        <f>'DATA Meta-conf'!J37*'DATA Meta-conf'!J78/1000</f>
        <v>28.965517241379313</v>
      </c>
      <c r="G44" s="160">
        <f>'DATA Meta-conf'!K37*'DATA Meta-conf'!K78/1000</f>
        <v>28.965517241379313</v>
      </c>
      <c r="H44" s="160">
        <f>'DATA Meta-conf'!L37*'DATA Meta-conf'!L78/1000</f>
        <v>28.965517241379313</v>
      </c>
      <c r="I44" s="160">
        <f>'DATA Meta-conf'!M37*'DATA Meta-conf'!M78/1000</f>
        <v>28.965517241379313</v>
      </c>
      <c r="J44" s="160">
        <f>'DATA Meta-conf'!N37*'DATA Meta-conf'!N78/1000</f>
        <v>28.965517241379313</v>
      </c>
      <c r="K44" s="160">
        <f>'DATA Meta-conf'!O37*'DATA Meta-conf'!O78/1000</f>
        <v>28.965517241379313</v>
      </c>
      <c r="L44" s="161">
        <f>'DATA Meta-conf'!P37*'DATA Meta-conf'!P78/1000</f>
        <v>28.965517241379313</v>
      </c>
      <c r="M44" s="159">
        <f>'DATA Meta-conf'!Q37*'DATA Meta-conf'!Q78/1000</f>
        <v>28.965517241379313</v>
      </c>
      <c r="N44" s="161">
        <f>'DATA Meta-conf'!R37*'DATA Meta-conf'!R78/1000</f>
        <v>28.965517241379313</v>
      </c>
      <c r="O44" s="159">
        <f>'DATA Meta-conf'!S37*'DATA Meta-conf'!S78/1000</f>
        <v>28.965517241379313</v>
      </c>
      <c r="P44" s="160">
        <f>'DATA Meta-conf'!T37*'DATA Meta-conf'!T78/1000</f>
        <v>28.965517241379313</v>
      </c>
      <c r="Q44" s="160">
        <f>'DATA Meta-conf'!U37*'DATA Meta-conf'!U78/1000</f>
        <v>28.965517241379313</v>
      </c>
      <c r="R44" s="160">
        <f>'DATA Meta-conf'!V37*'DATA Meta-conf'!V78/1000</f>
        <v>28.965517241379313</v>
      </c>
      <c r="S44" s="161">
        <f>'DATA Meta-conf'!W37*'DATA Meta-conf'!W78/1000</f>
        <v>28.965517241379313</v>
      </c>
      <c r="U44" s="143"/>
    </row>
    <row r="45" spans="1:21" ht="15" customHeight="1">
      <c r="A45" s="155" t="s">
        <v>5</v>
      </c>
      <c r="B45" s="159">
        <f>'DATA Meta-conf'!F38*'DATA Meta-conf'!F79/1000</f>
        <v>0</v>
      </c>
      <c r="C45" s="160">
        <f>'DATA Meta-conf'!G38*'DATA Meta-conf'!G79/1000</f>
        <v>0</v>
      </c>
      <c r="D45" s="160">
        <f>'DATA Meta-conf'!H38*'DATA Meta-conf'!H79/1000</f>
        <v>0</v>
      </c>
      <c r="E45" s="160">
        <f>'DATA Meta-conf'!I38*'DATA Meta-conf'!I79/1000</f>
        <v>0</v>
      </c>
      <c r="F45" s="160">
        <f>'DATA Meta-conf'!J38*'DATA Meta-conf'!J79/1000</f>
        <v>0.3380331204851451</v>
      </c>
      <c r="G45" s="160">
        <f>'DATA Meta-conf'!K38*'DATA Meta-conf'!K79/1000</f>
        <v>0.6828269033799932</v>
      </c>
      <c r="H45" s="160">
        <f>'DATA Meta-conf'!L38*'DATA Meta-conf'!L79/1000</f>
        <v>1.0344827586206897</v>
      </c>
      <c r="I45" s="160">
        <f>'DATA Meta-conf'!M38*'DATA Meta-conf'!M79/1000</f>
        <v>1.7966896551724139</v>
      </c>
      <c r="J45" s="160">
        <f>'DATA Meta-conf'!N38*'DATA Meta-conf'!N79/1000</f>
        <v>3.120490593103449</v>
      </c>
      <c r="K45" s="160">
        <f>'DATA Meta-conf'!O38*'DATA Meta-conf'!O79/1000</f>
        <v>5.41966806210207</v>
      </c>
      <c r="L45" s="161">
        <f>'DATA Meta-conf'!P38*'DATA Meta-conf'!P79/1000</f>
        <v>9.412879490258874</v>
      </c>
      <c r="M45" s="159">
        <f>'DATA Meta-conf'!Q38*'DATA Meta-conf'!Q79/1000</f>
        <v>14.617093842699072</v>
      </c>
      <c r="N45" s="161">
        <f>'DATA Meta-conf'!R38*'DATA Meta-conf'!R79/1000</f>
        <v>22.69862613532674</v>
      </c>
      <c r="O45" s="159">
        <f>'DATA Meta-conf'!S38*'DATA Meta-conf'!S79/1000</f>
        <v>35.24829449519361</v>
      </c>
      <c r="P45" s="160">
        <f>'DATA Meta-conf'!T38*'DATA Meta-conf'!T79/1000</f>
        <v>54.73645221576807</v>
      </c>
      <c r="Q45" s="160">
        <f>'DATA Meta-conf'!U38*'DATA Meta-conf'!U79/1000</f>
        <v>84.99926717241881</v>
      </c>
      <c r="R45" s="160">
        <f>'DATA Meta-conf'!V38*'DATA Meta-conf'!V79/1000</f>
        <v>131.99385651390364</v>
      </c>
      <c r="S45" s="161">
        <f>'DATA Meta-conf'!W38*'DATA Meta-conf'!W79/1000</f>
        <v>204.9709219500933</v>
      </c>
      <c r="T45" s="143"/>
      <c r="U45" s="341"/>
    </row>
    <row r="46" spans="1:21" ht="15" customHeight="1">
      <c r="A46" s="155" t="s">
        <v>33</v>
      </c>
      <c r="B46" s="159">
        <f>'DATA Meta-conf'!F39*'DATA Meta-conf'!F80/1000</f>
        <v>0</v>
      </c>
      <c r="C46" s="160">
        <f>'DATA Meta-conf'!G39*'DATA Meta-conf'!G80/1000</f>
        <v>0</v>
      </c>
      <c r="D46" s="160">
        <f>'DATA Meta-conf'!H39*'DATA Meta-conf'!H80/1000</f>
        <v>0</v>
      </c>
      <c r="E46" s="160">
        <f>'DATA Meta-conf'!I39*'DATA Meta-conf'!I80/1000</f>
        <v>0</v>
      </c>
      <c r="F46" s="160">
        <f>'DATA Meta-conf'!J39*'DATA Meta-conf'!J80/1000</f>
        <v>20.802116615365616</v>
      </c>
      <c r="G46" s="160">
        <f>'DATA Meta-conf'!K39*'DATA Meta-conf'!K80/1000</f>
        <v>33.47840642785404</v>
      </c>
      <c r="H46" s="160">
        <f>'DATA Meta-conf'!L39*'DATA Meta-conf'!L80/1000</f>
        <v>38.62068965517242</v>
      </c>
      <c r="I46" s="160">
        <f>'DATA Meta-conf'!M39*'DATA Meta-conf'!M80/1000</f>
        <v>47.79696551724138</v>
      </c>
      <c r="J46" s="160">
        <f>'DATA Meta-conf'!N39*'DATA Meta-conf'!N80/1000</f>
        <v>59.15352452413793</v>
      </c>
      <c r="K46" s="160">
        <f>'DATA Meta-conf'!O39*'DATA Meta-conf'!O80/1000</f>
        <v>73.2084019510731</v>
      </c>
      <c r="L46" s="161">
        <f>'DATA Meta-conf'!P39*'DATA Meta-conf'!P80/1000</f>
        <v>90.60271825464808</v>
      </c>
      <c r="M46" s="159">
        <f>'DATA Meta-conf'!Q39*'DATA Meta-conf'!Q80/1000</f>
        <v>112.12992411195245</v>
      </c>
      <c r="N46" s="161">
        <f>'DATA Meta-conf'!R39*'DATA Meta-conf'!R80/1000</f>
        <v>138.77199408095234</v>
      </c>
      <c r="O46" s="159">
        <f>'DATA Meta-conf'!S39*'DATA Meta-conf'!S80/1000</f>
        <v>171.74421987458666</v>
      </c>
      <c r="P46" s="160">
        <f>'DATA Meta-conf'!T39*'DATA Meta-conf'!T80/1000</f>
        <v>212.55064651678842</v>
      </c>
      <c r="Q46" s="160">
        <f>'DATA Meta-conf'!U39*'DATA Meta-conf'!U80/1000</f>
        <v>263.0526801291774</v>
      </c>
      <c r="R46" s="160">
        <f>'DATA Meta-conf'!V39*'DATA Meta-conf'!V80/1000</f>
        <v>325.5539969278699</v>
      </c>
      <c r="S46" s="161">
        <f>'DATA Meta-conf'!W39*'DATA Meta-conf'!W80/1000</f>
        <v>402.9056265979318</v>
      </c>
      <c r="T46" s="143"/>
      <c r="U46" s="341"/>
    </row>
    <row r="47" spans="1:21" ht="15" customHeight="1">
      <c r="A47" s="155" t="s">
        <v>101</v>
      </c>
      <c r="B47" s="159">
        <f>'DATA Meta-conf'!F40*'DATA Meta-conf'!F81/1000</f>
        <v>0</v>
      </c>
      <c r="C47" s="160">
        <f>'DATA Meta-conf'!G40*'DATA Meta-conf'!G81/1000</f>
        <v>6.958601034283633</v>
      </c>
      <c r="D47" s="160">
        <f>'DATA Meta-conf'!H40*'DATA Meta-conf'!H81/1000</f>
        <v>8.266818028728956</v>
      </c>
      <c r="E47" s="160">
        <f>'DATA Meta-conf'!I40*'DATA Meta-conf'!I81/1000</f>
        <v>10.103888701779837</v>
      </c>
      <c r="F47" s="160">
        <f>'DATA Meta-conf'!J40*'DATA Meta-conf'!J81/1000</f>
        <v>11.855229410088345</v>
      </c>
      <c r="G47" s="160">
        <f>'DATA Meta-conf'!K40*'DATA Meta-conf'!K81/1000</f>
        <v>14.26332288401254</v>
      </c>
      <c r="H47" s="160">
        <f>'DATA Meta-conf'!L40*'DATA Meta-conf'!L81/1000</f>
        <v>17.03448275862069</v>
      </c>
      <c r="I47" s="160">
        <f>'DATA Meta-conf'!M40*'DATA Meta-conf'!M81/1000</f>
        <v>20.236965517241384</v>
      </c>
      <c r="J47" s="160">
        <f>'DATA Meta-conf'!N40*'DATA Meta-conf'!N81/1000</f>
        <v>24.041515034482767</v>
      </c>
      <c r="K47" s="160">
        <f>'DATA Meta-conf'!O40*'DATA Meta-conf'!O81/1000</f>
        <v>28.561319860965533</v>
      </c>
      <c r="L47" s="161">
        <f>'DATA Meta-conf'!P40*'DATA Meta-conf'!P81/1000</f>
        <v>33.930847994827054</v>
      </c>
      <c r="M47" s="159">
        <f>'DATA Meta-conf'!Q40*'DATA Meta-conf'!Q81/1000</f>
        <v>40.30984741785454</v>
      </c>
      <c r="N47" s="161">
        <f>'DATA Meta-conf'!R40*'DATA Meta-conf'!R81/1000</f>
        <v>47.88809873241121</v>
      </c>
      <c r="O47" s="159">
        <f>'DATA Meta-conf'!S40*'DATA Meta-conf'!S81/1000</f>
        <v>56.891061294104524</v>
      </c>
      <c r="P47" s="160">
        <f>'DATA Meta-conf'!T40*'DATA Meta-conf'!T81/1000</f>
        <v>67.58658081739618</v>
      </c>
      <c r="Q47" s="160">
        <f>'DATA Meta-conf'!U40*'DATA Meta-conf'!U81/1000</f>
        <v>80.29285801106668</v>
      </c>
      <c r="R47" s="160">
        <f>'DATA Meta-conf'!V40*'DATA Meta-conf'!V81/1000</f>
        <v>95.38791531714725</v>
      </c>
      <c r="S47" s="161">
        <f>'DATA Meta-conf'!W40*'DATA Meta-conf'!W81/1000</f>
        <v>113.32084339677094</v>
      </c>
      <c r="T47" s="143"/>
      <c r="U47" s="341"/>
    </row>
    <row r="48" spans="1:21" ht="15" customHeight="1">
      <c r="A48" s="155" t="s">
        <v>16</v>
      </c>
      <c r="B48" s="159">
        <f>'DATA Meta-conf'!F41*'DATA Meta-conf'!F82/1000</f>
        <v>0</v>
      </c>
      <c r="C48" s="160">
        <f>'DATA Meta-conf'!G41*'DATA Meta-conf'!G82/1000</f>
        <v>0.14872565248002828</v>
      </c>
      <c r="D48" s="160">
        <f>'DATA Meta-conf'!H41*'DATA Meta-conf'!H82/1000</f>
        <v>0.4595622661632874</v>
      </c>
      <c r="E48" s="160">
        <f>'DATA Meta-conf'!I41*'DATA Meta-conf'!I82/1000</f>
        <v>0.7889152235803101</v>
      </c>
      <c r="F48" s="160">
        <f>'DATA Meta-conf'!J41*'DATA Meta-conf'!J82/1000</f>
        <v>1.6251653605754386</v>
      </c>
      <c r="G48" s="160">
        <f>'DATA Meta-conf'!K41*'DATA Meta-conf'!K82/1000</f>
        <v>2.678272514228323</v>
      </c>
      <c r="H48" s="160">
        <f>'DATA Meta-conf'!L41*'DATA Meta-conf'!L82/1000</f>
        <v>4.310344827586207</v>
      </c>
      <c r="I48" s="160">
        <f>'DATA Meta-conf'!M41*'DATA Meta-conf'!M82/1000</f>
        <v>5.593965517241379</v>
      </c>
      <c r="J48" s="160">
        <f>'DATA Meta-conf'!N41*'DATA Meta-conf'!N82/1000</f>
        <v>7.259848448275863</v>
      </c>
      <c r="K48" s="160">
        <f>'DATA Meta-conf'!O41*'DATA Meta-conf'!O82/1000</f>
        <v>9.421831316172417</v>
      </c>
      <c r="L48" s="161">
        <f>'DATA Meta-conf'!P41*'DATA Meta-conf'!P82/1000</f>
        <v>12.22765268212856</v>
      </c>
      <c r="M48" s="159">
        <f>'DATA Meta-conf'!Q41*'DATA Meta-conf'!Q82/1000</f>
        <v>15.869047650866447</v>
      </c>
      <c r="N48" s="161">
        <f>'DATA Meta-conf'!R41*'DATA Meta-conf'!R82/1000</f>
        <v>20.594850041294478</v>
      </c>
      <c r="O48" s="159">
        <f>'DATA Meta-conf'!S41*'DATA Meta-conf'!S82/1000</f>
        <v>26.727996383591975</v>
      </c>
      <c r="P48" s="160">
        <f>'DATA Meta-conf'!T41*'DATA Meta-conf'!T82/1000</f>
        <v>34.68759370662567</v>
      </c>
      <c r="Q48" s="160">
        <f>'DATA Meta-conf'!U41*'DATA Meta-conf'!U82/1000</f>
        <v>45.01755911245879</v>
      </c>
      <c r="R48" s="160">
        <f>'DATA Meta-conf'!V41*'DATA Meta-conf'!V82/1000</f>
        <v>58.42378821614902</v>
      </c>
      <c r="S48" s="161">
        <f>'DATA Meta-conf'!W41*'DATA Meta-conf'!W82/1000</f>
        <v>75.8223923469182</v>
      </c>
      <c r="T48" s="143"/>
      <c r="U48" s="341"/>
    </row>
    <row r="49" spans="1:21" ht="15" customHeight="1">
      <c r="A49" s="272" t="s">
        <v>172</v>
      </c>
      <c r="B49" s="162">
        <f>0.15*(B88+B89+B90)</f>
        <v>40.51548109953704</v>
      </c>
      <c r="C49" s="163">
        <f aca="true" t="shared" si="6" ref="C49:S49">0.15*(C88+C89+C90)</f>
        <v>38.49362291666666</v>
      </c>
      <c r="D49" s="163">
        <f t="shared" si="6"/>
        <v>43.130788321720985</v>
      </c>
      <c r="E49" s="163">
        <f t="shared" si="6"/>
        <v>41.782147499999994</v>
      </c>
      <c r="F49" s="163">
        <f>0.15*(F88+F89+F90)</f>
        <v>43.548458333333336</v>
      </c>
      <c r="G49" s="163">
        <f t="shared" si="6"/>
        <v>48.48806</v>
      </c>
      <c r="H49" s="364">
        <f t="shared" si="6"/>
        <v>52.402129949999996</v>
      </c>
      <c r="I49" s="163">
        <f t="shared" si="6"/>
        <v>54.651871574910004</v>
      </c>
      <c r="J49" s="163">
        <f t="shared" si="6"/>
        <v>57.299062778467054</v>
      </c>
      <c r="K49" s="163">
        <f t="shared" si="6"/>
        <v>60.36087885090556</v>
      </c>
      <c r="L49" s="164">
        <f t="shared" si="6"/>
        <v>63.858254958289734</v>
      </c>
      <c r="M49" s="162">
        <f t="shared" si="6"/>
        <v>67.81602856529967</v>
      </c>
      <c r="N49" s="164">
        <f t="shared" si="6"/>
        <v>72.26311801500593</v>
      </c>
      <c r="O49" s="162">
        <f t="shared" si="6"/>
        <v>79.06662146906612</v>
      </c>
      <c r="P49" s="163">
        <f t="shared" si="6"/>
        <v>86.61585199288649</v>
      </c>
      <c r="Q49" s="163">
        <f t="shared" si="6"/>
        <v>94.99018982038568</v>
      </c>
      <c r="R49" s="163">
        <f t="shared" si="6"/>
        <v>104.27767503290939</v>
      </c>
      <c r="S49" s="164">
        <f t="shared" si="6"/>
        <v>114.57595486153522</v>
      </c>
      <c r="T49" s="377"/>
      <c r="U49" s="377"/>
    </row>
    <row r="50" spans="1:21" ht="15" customHeight="1">
      <c r="A50" s="178" t="s">
        <v>327</v>
      </c>
      <c r="B50" s="219">
        <f>0.15*B93</f>
        <v>30.843995098825012</v>
      </c>
      <c r="C50" s="220">
        <f aca="true" t="shared" si="7" ref="C50:S50">0.15*C93</f>
        <v>32.430350515422916</v>
      </c>
      <c r="D50" s="220">
        <f t="shared" si="7"/>
        <v>37.010141282400454</v>
      </c>
      <c r="E50" s="220">
        <f t="shared" si="7"/>
        <v>43.55122440833959</v>
      </c>
      <c r="F50" s="220">
        <f t="shared" si="7"/>
        <v>48.959833748708675</v>
      </c>
      <c r="G50" s="220">
        <f t="shared" si="7"/>
        <v>52.124065365886366</v>
      </c>
      <c r="H50" s="365">
        <f t="shared" si="7"/>
        <v>52.55049473079071</v>
      </c>
      <c r="I50" s="220">
        <f t="shared" si="7"/>
        <v>53.443853141214156</v>
      </c>
      <c r="J50" s="220">
        <f t="shared" si="7"/>
        <v>54.352398644614794</v>
      </c>
      <c r="K50" s="220">
        <f t="shared" si="7"/>
        <v>55.27638942157324</v>
      </c>
      <c r="L50" s="222">
        <f t="shared" si="7"/>
        <v>56.21608804173998</v>
      </c>
      <c r="M50" s="219">
        <f t="shared" si="7"/>
        <v>57.17176153844955</v>
      </c>
      <c r="N50" s="222">
        <f t="shared" si="7"/>
        <v>58.14368148460319</v>
      </c>
      <c r="O50" s="219">
        <f t="shared" si="7"/>
        <v>59.13212406984143</v>
      </c>
      <c r="P50" s="220">
        <f t="shared" si="7"/>
        <v>60.13737017902873</v>
      </c>
      <c r="Q50" s="220">
        <f t="shared" si="7"/>
        <v>61.15970547207222</v>
      </c>
      <c r="R50" s="220">
        <f t="shared" si="7"/>
        <v>62.19942046509744</v>
      </c>
      <c r="S50" s="222">
        <f t="shared" si="7"/>
        <v>63.256810613004085</v>
      </c>
      <c r="T50" s="377"/>
      <c r="U50" s="377"/>
    </row>
    <row r="51" spans="1:21" ht="15" customHeight="1">
      <c r="A51" s="378" t="s">
        <v>328</v>
      </c>
      <c r="B51" s="379">
        <f>SUM(B32:B50)</f>
        <v>1553.6329005772363</v>
      </c>
      <c r="C51" s="380">
        <f>SUM(C32:C50)</f>
        <v>1627.248964787018</v>
      </c>
      <c r="D51" s="380">
        <f>SUM(D32:D50)</f>
        <v>1717.9783341224565</v>
      </c>
      <c r="E51" s="380">
        <f>SUM(E32:E50)</f>
        <v>1819.7281109550383</v>
      </c>
      <c r="F51" s="380">
        <f>SUM(F32:F50)</f>
        <v>1961.3614665469618</v>
      </c>
      <c r="G51" s="380">
        <f aca="true" t="shared" si="8" ref="G51:H51">SUM(G32:G50)</f>
        <v>2103.132272211158</v>
      </c>
      <c r="H51" s="381">
        <f t="shared" si="8"/>
        <v>2250.037322956653</v>
      </c>
      <c r="I51" s="380">
        <f>SUM(I32:I50)</f>
        <v>2340.819246267849</v>
      </c>
      <c r="J51" s="380">
        <f aca="true" t="shared" si="9" ref="J51:K51">SUM(J32:J50)</f>
        <v>2481.9910061575656</v>
      </c>
      <c r="K51" s="380">
        <f t="shared" si="9"/>
        <v>2639.6120494470683</v>
      </c>
      <c r="L51" s="370">
        <f>SUM(L32:L50)</f>
        <v>2816.3120148089993</v>
      </c>
      <c r="M51" s="379">
        <f>SUM(M32:M50)</f>
        <v>3013.883468734094</v>
      </c>
      <c r="N51" s="370">
        <f>SUM(N32:N50)</f>
        <v>3236.7083830112856</v>
      </c>
      <c r="O51" s="379" t="e">
        <f aca="true" t="shared" si="10" ref="O51:S51">SUM(O32:O50)</f>
        <v>#REF!</v>
      </c>
      <c r="P51" s="380" t="e">
        <f t="shared" si="10"/>
        <v>#REF!</v>
      </c>
      <c r="Q51" s="380" t="e">
        <f t="shared" si="10"/>
        <v>#REF!</v>
      </c>
      <c r="R51" s="380" t="e">
        <f t="shared" si="10"/>
        <v>#REF!</v>
      </c>
      <c r="S51" s="370" t="e">
        <f t="shared" si="10"/>
        <v>#REF!</v>
      </c>
      <c r="T51" s="377"/>
      <c r="U51" s="377"/>
    </row>
    <row r="52" spans="1:21" ht="15" customHeight="1">
      <c r="A52" s="374"/>
      <c r="B52" s="375"/>
      <c r="C52" s="375"/>
      <c r="D52" s="382"/>
      <c r="E52" s="375"/>
      <c r="F52" s="375"/>
      <c r="G52" s="375"/>
      <c r="H52" s="376"/>
      <c r="I52" s="375"/>
      <c r="J52" s="375"/>
      <c r="K52" s="375"/>
      <c r="L52" s="375"/>
      <c r="M52" s="375"/>
      <c r="N52" s="375"/>
      <c r="O52" s="377"/>
      <c r="Q52" s="377"/>
      <c r="R52" s="371"/>
      <c r="S52" s="236"/>
      <c r="T52" s="377"/>
      <c r="U52" s="377"/>
    </row>
    <row r="53" spans="1:21" ht="15" customHeight="1">
      <c r="A53" s="371"/>
      <c r="B53" s="371"/>
      <c r="C53" s="371"/>
      <c r="D53" s="374"/>
      <c r="E53" s="374"/>
      <c r="F53" s="374"/>
      <c r="G53" s="374"/>
      <c r="H53" s="383"/>
      <c r="I53" s="371"/>
      <c r="J53" s="371"/>
      <c r="K53" s="371"/>
      <c r="L53" s="371"/>
      <c r="M53" s="371"/>
      <c r="N53" s="374"/>
      <c r="O53" s="377"/>
      <c r="P53" s="371"/>
      <c r="Q53" s="377"/>
      <c r="R53" s="371"/>
      <c r="S53" s="236"/>
      <c r="T53" s="377"/>
      <c r="U53" s="377"/>
    </row>
    <row r="54" spans="1:18" s="143" customFormat="1" ht="15" customHeight="1">
      <c r="A54" s="371"/>
      <c r="B54" s="371"/>
      <c r="C54" s="371"/>
      <c r="D54" s="371"/>
      <c r="E54" s="371"/>
      <c r="F54" s="371"/>
      <c r="G54" s="371"/>
      <c r="H54" s="384"/>
      <c r="I54" s="371"/>
      <c r="J54" s="371"/>
      <c r="K54" s="371"/>
      <c r="L54" s="371"/>
      <c r="M54" s="371"/>
      <c r="N54" s="371"/>
      <c r="O54" s="374"/>
      <c r="P54" s="374"/>
      <c r="Q54" s="385"/>
      <c r="R54" s="374"/>
    </row>
    <row r="55" spans="1:18" s="143" customFormat="1" ht="15" customHeight="1">
      <c r="A55" s="371"/>
      <c r="B55" s="371"/>
      <c r="C55" s="371"/>
      <c r="D55" s="371"/>
      <c r="E55" s="371"/>
      <c r="F55" s="371"/>
      <c r="G55" s="371"/>
      <c r="H55" s="384"/>
      <c r="I55" s="371"/>
      <c r="J55" s="371"/>
      <c r="K55" s="371"/>
      <c r="L55" s="371"/>
      <c r="M55" s="371"/>
      <c r="N55" s="371"/>
      <c r="O55" s="374"/>
      <c r="P55" s="374"/>
      <c r="Q55" s="385"/>
      <c r="R55" s="374"/>
    </row>
    <row r="56" spans="1:19" s="143" customFormat="1" ht="30" customHeight="1">
      <c r="A56" s="151" t="s">
        <v>330</v>
      </c>
      <c r="B56" s="153">
        <v>2013</v>
      </c>
      <c r="C56" s="152">
        <v>2014</v>
      </c>
      <c r="D56" s="152">
        <v>2015</v>
      </c>
      <c r="E56" s="152">
        <v>2016</v>
      </c>
      <c r="F56" s="152">
        <v>2017</v>
      </c>
      <c r="G56" s="152">
        <v>2018</v>
      </c>
      <c r="H56" s="386">
        <v>2019</v>
      </c>
      <c r="I56" s="152">
        <v>2020</v>
      </c>
      <c r="J56" s="152">
        <v>2021</v>
      </c>
      <c r="K56" s="152">
        <v>2022</v>
      </c>
      <c r="L56" s="154">
        <v>2023</v>
      </c>
      <c r="M56" s="153">
        <v>2024</v>
      </c>
      <c r="N56" s="154">
        <v>2025</v>
      </c>
      <c r="O56" s="153">
        <v>2026</v>
      </c>
      <c r="P56" s="152">
        <v>2027</v>
      </c>
      <c r="Q56" s="152">
        <v>2028</v>
      </c>
      <c r="R56" s="152">
        <v>2029</v>
      </c>
      <c r="S56" s="154">
        <v>2030</v>
      </c>
    </row>
    <row r="57" spans="1:19" ht="15" customHeight="1">
      <c r="A57" s="155" t="s">
        <v>74</v>
      </c>
      <c r="B57" s="159">
        <f>'DATA Meta-conf'!F105*'DATA Meta-conf'!F85/1000</f>
        <v>82.58831416080828</v>
      </c>
      <c r="C57" s="160">
        <f>'DATA Meta-conf'!G105*'DATA Meta-conf'!G85/1000</f>
        <v>78.45889845276785</v>
      </c>
      <c r="D57" s="160">
        <f>'DATA Meta-conf'!H105*'DATA Meta-conf'!H85/1000</f>
        <v>74.53595353012946</v>
      </c>
      <c r="E57" s="160">
        <f>'DATA Meta-conf'!I105*'DATA Meta-conf'!I85/1000</f>
        <v>70.80915585362298</v>
      </c>
      <c r="F57" s="160">
        <f>'DATA Meta-conf'!J105*'DATA Meta-conf'!J85/1000</f>
        <v>67.26869806094184</v>
      </c>
      <c r="G57" s="160">
        <f>'DATA Meta-conf'!K105*'DATA Meta-conf'!K85/1000</f>
        <v>63.90526315789474</v>
      </c>
      <c r="H57" s="160">
        <f>'DATA Meta-conf'!L105*'DATA Meta-conf'!L85/1000</f>
        <v>60.71</v>
      </c>
      <c r="I57" s="160">
        <f>'DATA Meta-conf'!M105*'DATA Meta-conf'!M85/1000</f>
        <v>60.1029</v>
      </c>
      <c r="J57" s="160">
        <f>'DATA Meta-conf'!N105*'DATA Meta-conf'!N85/1000</f>
        <v>59.501870999999994</v>
      </c>
      <c r="K57" s="160">
        <f>'DATA Meta-conf'!O105*'DATA Meta-conf'!O85/1000</f>
        <v>58.906852289999996</v>
      </c>
      <c r="L57" s="161">
        <f>'DATA Meta-conf'!P105*'DATA Meta-conf'!P85/1000</f>
        <v>58.31778376709999</v>
      </c>
      <c r="M57" s="159">
        <f>'DATA Meta-conf'!Q105*'DATA Meta-conf'!Q85/1000</f>
        <v>57.73460592942899</v>
      </c>
      <c r="N57" s="161">
        <f>'DATA Meta-conf'!R105*'DATA Meta-conf'!R85/1000</f>
        <v>57.157259870134695</v>
      </c>
      <c r="O57" s="159">
        <f>'DATA Meta-conf'!S105*'DATA Meta-conf'!S85/1000</f>
        <v>56.58568727143335</v>
      </c>
      <c r="P57" s="160">
        <f>'DATA Meta-conf'!T105*'DATA Meta-conf'!T85/1000</f>
        <v>56.019830398719016</v>
      </c>
      <c r="Q57" s="160">
        <f>'DATA Meta-conf'!U105*'DATA Meta-conf'!U85/1000</f>
        <v>55.45963209473182</v>
      </c>
      <c r="R57" s="160">
        <f>'DATA Meta-conf'!V105*'DATA Meta-conf'!V85/1000</f>
        <v>54.905035773784505</v>
      </c>
      <c r="S57" s="161">
        <f>'DATA Meta-conf'!W105*'DATA Meta-conf'!W85/1000</f>
        <v>54.35598541604666</v>
      </c>
    </row>
    <row r="58" spans="1:19" ht="15" customHeight="1">
      <c r="A58" s="155" t="s">
        <v>76</v>
      </c>
      <c r="B58" s="159">
        <f>'DATA Meta-conf'!F106*'DATA Meta-conf'!F86/1000</f>
        <v>42.711697090866366</v>
      </c>
      <c r="C58" s="160">
        <f>'DATA Meta-conf'!G106*'DATA Meta-conf'!G86/1000</f>
        <v>43.99304800359236</v>
      </c>
      <c r="D58" s="160">
        <f>'DATA Meta-conf'!H106*'DATA Meta-conf'!H86/1000</f>
        <v>45.31283944370013</v>
      </c>
      <c r="E58" s="160">
        <f>'DATA Meta-conf'!I106*'DATA Meta-conf'!I86/1000</f>
        <v>46.672224627011126</v>
      </c>
      <c r="F58" s="160">
        <f>'DATA Meta-conf'!J106*'DATA Meta-conf'!J86/1000</f>
        <v>48.07239136582147</v>
      </c>
      <c r="G58" s="160">
        <f>'DATA Meta-conf'!K106*'DATA Meta-conf'!K86/1000</f>
        <v>49.51456310679612</v>
      </c>
      <c r="H58" s="160">
        <f>'DATA Meta-conf'!L106*'DATA Meta-conf'!L86/1000</f>
        <v>51</v>
      </c>
      <c r="I58" s="160">
        <f>'DATA Meta-conf'!M106*'DATA Meta-conf'!M86/1000</f>
        <v>59.5</v>
      </c>
      <c r="J58" s="160">
        <f>'DATA Meta-conf'!N106*'DATA Meta-conf'!N86/1000</f>
        <v>59.5</v>
      </c>
      <c r="K58" s="160">
        <f>'DATA Meta-conf'!O106*'DATA Meta-conf'!O86/1000</f>
        <v>61.28500000000001</v>
      </c>
      <c r="L58" s="161">
        <f>'DATA Meta-conf'!P106*'DATA Meta-conf'!P86/1000</f>
        <v>63.12355</v>
      </c>
      <c r="M58" s="159">
        <f>'DATA Meta-conf'!Q106*'DATA Meta-conf'!Q86/1000</f>
        <v>65.0172565</v>
      </c>
      <c r="N58" s="161">
        <f>'DATA Meta-conf'!R106*'DATA Meta-conf'!R86/1000</f>
        <v>66.967774195</v>
      </c>
      <c r="O58" s="159">
        <f>'DATA Meta-conf'!S106*'DATA Meta-conf'!S86/1000</f>
        <v>68.97680742085001</v>
      </c>
      <c r="P58" s="160">
        <f>'DATA Meta-conf'!T106*'DATA Meta-conf'!T86/1000</f>
        <v>71.04611164347551</v>
      </c>
      <c r="Q58" s="160">
        <f>'DATA Meta-conf'!U106*'DATA Meta-conf'!U86/1000</f>
        <v>73.17749499277978</v>
      </c>
      <c r="R58" s="160">
        <f>'DATA Meta-conf'!V106*'DATA Meta-conf'!V86/1000</f>
        <v>75.37281984256319</v>
      </c>
      <c r="S58" s="161">
        <f>'DATA Meta-conf'!W106*'DATA Meta-conf'!W86/1000</f>
        <v>77.63400443784008</v>
      </c>
    </row>
    <row r="59" spans="1:19" ht="15" customHeight="1">
      <c r="A59" s="155" t="s">
        <v>78</v>
      </c>
      <c r="B59" s="159">
        <f>'DATA Meta-conf'!F107*'DATA Meta-conf'!F87/1000</f>
        <v>49.547513061936534</v>
      </c>
      <c r="C59" s="160">
        <f>'DATA Meta-conf'!G107*'DATA Meta-conf'!G87/1000</f>
        <v>49.052037931317166</v>
      </c>
      <c r="D59" s="160">
        <f>'DATA Meta-conf'!H107*'DATA Meta-conf'!H87/1000</f>
        <v>48.56151755200399</v>
      </c>
      <c r="E59" s="160">
        <f>'DATA Meta-conf'!I107*'DATA Meta-conf'!I87/1000</f>
        <v>48.07590237648395</v>
      </c>
      <c r="F59" s="160">
        <f>'DATA Meta-conf'!J107*'DATA Meta-conf'!J87/1000</f>
        <v>47.59514335271911</v>
      </c>
      <c r="G59" s="160">
        <f>'DATA Meta-conf'!K107*'DATA Meta-conf'!K87/1000</f>
        <v>47.11919191919192</v>
      </c>
      <c r="H59" s="160">
        <f>'DATA Meta-conf'!L107*'DATA Meta-conf'!L87/1000</f>
        <v>46.648</v>
      </c>
      <c r="I59" s="160">
        <f>'DATA Meta-conf'!M107*'DATA Meta-conf'!M87/1000</f>
        <v>47.11448</v>
      </c>
      <c r="J59" s="160">
        <f>'DATA Meta-conf'!N107*'DATA Meta-conf'!N87/1000</f>
        <v>47.585624800000005</v>
      </c>
      <c r="K59" s="160">
        <f>'DATA Meta-conf'!O107*'DATA Meta-conf'!O87/1000</f>
        <v>48.061481048000005</v>
      </c>
      <c r="L59" s="161">
        <f>'DATA Meta-conf'!P107*'DATA Meta-conf'!P87/1000</f>
        <v>48.54209585848001</v>
      </c>
      <c r="M59" s="159">
        <f>'DATA Meta-conf'!Q107*'DATA Meta-conf'!Q87/1000</f>
        <v>49.0275168170648</v>
      </c>
      <c r="N59" s="161">
        <f>'DATA Meta-conf'!R107*'DATA Meta-conf'!R87/1000</f>
        <v>49.517791985235455</v>
      </c>
      <c r="O59" s="159">
        <f>'DATA Meta-conf'!S107*'DATA Meta-conf'!S87/1000</f>
        <v>50.012969905087814</v>
      </c>
      <c r="P59" s="160">
        <f>'DATA Meta-conf'!T107*'DATA Meta-conf'!T87/1000</f>
        <v>50.51309960413869</v>
      </c>
      <c r="Q59" s="160">
        <f>'DATA Meta-conf'!U107*'DATA Meta-conf'!U87/1000</f>
        <v>51.018230600180075</v>
      </c>
      <c r="R59" s="160">
        <f>'DATA Meta-conf'!V107*'DATA Meta-conf'!V87/1000</f>
        <v>51.52841290618188</v>
      </c>
      <c r="S59" s="161">
        <f>'DATA Meta-conf'!W107*'DATA Meta-conf'!W87/1000</f>
        <v>52.04369703524369</v>
      </c>
    </row>
    <row r="60" spans="1:19" ht="15" customHeight="1">
      <c r="A60" s="155" t="s">
        <v>79</v>
      </c>
      <c r="B60" s="159">
        <f>'DATA Meta-conf'!F108*'DATA Meta-conf'!F88/1000</f>
        <v>36.268741557286965</v>
      </c>
      <c r="C60" s="160">
        <f>'DATA Meta-conf'!G108*'DATA Meta-conf'!G88/1000</f>
        <v>36.63142897285984</v>
      </c>
      <c r="D60" s="160">
        <f>'DATA Meta-conf'!H108*'DATA Meta-conf'!H88/1000</f>
        <v>36.99774326258843</v>
      </c>
      <c r="E60" s="160">
        <f>'DATA Meta-conf'!I108*'DATA Meta-conf'!I88/1000</f>
        <v>37.36772069521431</v>
      </c>
      <c r="F60" s="160">
        <f>'DATA Meta-conf'!J108*'DATA Meta-conf'!J88/1000</f>
        <v>37.741397902166455</v>
      </c>
      <c r="G60" s="160">
        <f>'DATA Meta-conf'!K108*'DATA Meta-conf'!K88/1000</f>
        <v>38.11881188118812</v>
      </c>
      <c r="H60" s="160">
        <f>'DATA Meta-conf'!L108*'DATA Meta-conf'!L88/1000</f>
        <v>38.5</v>
      </c>
      <c r="I60" s="160">
        <f>'DATA Meta-conf'!M108*'DATA Meta-conf'!M88/1000</f>
        <v>38.885</v>
      </c>
      <c r="J60" s="160">
        <f>'DATA Meta-conf'!N108*'DATA Meta-conf'!N88/1000</f>
        <v>39.27385</v>
      </c>
      <c r="K60" s="160">
        <f>'DATA Meta-conf'!O108*'DATA Meta-conf'!O88/1000</f>
        <v>39.6665885</v>
      </c>
      <c r="L60" s="161">
        <f>'DATA Meta-conf'!P108*'DATA Meta-conf'!P88/1000</f>
        <v>40.06325438500001</v>
      </c>
      <c r="M60" s="159">
        <f>'DATA Meta-conf'!Q108*'DATA Meta-conf'!Q88/1000</f>
        <v>40.463886928850016</v>
      </c>
      <c r="N60" s="161">
        <f>'DATA Meta-conf'!R108*'DATA Meta-conf'!R88/1000</f>
        <v>40.86852579813851</v>
      </c>
      <c r="O60" s="159">
        <f>'DATA Meta-conf'!S108*'DATA Meta-conf'!S88/1000</f>
        <v>41.2772110561199</v>
      </c>
      <c r="P60" s="160">
        <f>'DATA Meta-conf'!T108*'DATA Meta-conf'!T88/1000</f>
        <v>41.6899831666811</v>
      </c>
      <c r="Q60" s="160">
        <f>'DATA Meta-conf'!U108*'DATA Meta-conf'!U88/1000</f>
        <v>42.106882998347906</v>
      </c>
      <c r="R60" s="160">
        <f>'DATA Meta-conf'!V108*'DATA Meta-conf'!V88/1000</f>
        <v>42.52795182833139</v>
      </c>
      <c r="S60" s="161">
        <f>'DATA Meta-conf'!W108*'DATA Meta-conf'!W88/1000</f>
        <v>42.95323134661471</v>
      </c>
    </row>
    <row r="61" spans="1:19" ht="15" customHeight="1">
      <c r="A61" s="155" t="s">
        <v>81</v>
      </c>
      <c r="B61" s="159">
        <f>'DATA Meta-conf'!F109*'DATA Meta-conf'!F89/1000</f>
        <v>105.30875973176784</v>
      </c>
      <c r="C61" s="160">
        <f>'DATA Meta-conf'!G109*'DATA Meta-conf'!G89/1000</f>
        <v>112.36444663379626</v>
      </c>
      <c r="D61" s="160">
        <f>'DATA Meta-conf'!H109*'DATA Meta-conf'!H89/1000</f>
        <v>119.89286455826063</v>
      </c>
      <c r="E61" s="160">
        <f>'DATA Meta-conf'!I109*'DATA Meta-conf'!I89/1000</f>
        <v>127.9256864836641</v>
      </c>
      <c r="F61" s="160">
        <f>'DATA Meta-conf'!J109*'DATA Meta-conf'!J89/1000</f>
        <v>136.4967074780696</v>
      </c>
      <c r="G61" s="160">
        <f>'DATA Meta-conf'!K109*'DATA Meta-conf'!K89/1000</f>
        <v>145.64198687910027</v>
      </c>
      <c r="H61" s="160">
        <f>'DATA Meta-conf'!L109*'DATA Meta-conf'!L89/1000</f>
        <v>155.4</v>
      </c>
      <c r="I61" s="160">
        <f>'DATA Meta-conf'!M109*'DATA Meta-conf'!M89/1000</f>
        <v>153.75275999999997</v>
      </c>
      <c r="J61" s="160">
        <f>'DATA Meta-conf'!N109*'DATA Meta-conf'!N89/1000</f>
        <v>152.12298074399996</v>
      </c>
      <c r="K61" s="160">
        <f>'DATA Meta-conf'!O109*'DATA Meta-conf'!O89/1000</f>
        <v>150.51047714811358</v>
      </c>
      <c r="L61" s="161">
        <f>'DATA Meta-conf'!P109*'DATA Meta-conf'!P89/1000</f>
        <v>148.91506609034357</v>
      </c>
      <c r="M61" s="159">
        <f>'DATA Meta-conf'!Q109*'DATA Meta-conf'!Q89/1000</f>
        <v>147.33656638978596</v>
      </c>
      <c r="N61" s="161">
        <f>'DATA Meta-conf'!R109*'DATA Meta-conf'!R89/1000</f>
        <v>145.77479878605422</v>
      </c>
      <c r="O61" s="159">
        <f>'DATA Meta-conf'!S109*'DATA Meta-conf'!S89/1000</f>
        <v>144.22958591892206</v>
      </c>
      <c r="P61" s="160">
        <f>'DATA Meta-conf'!T109*'DATA Meta-conf'!T89/1000</f>
        <v>142.70075230818148</v>
      </c>
      <c r="Q61" s="160">
        <f>'DATA Meta-conf'!U109*'DATA Meta-conf'!U89/1000</f>
        <v>141.18812433371474</v>
      </c>
      <c r="R61" s="160">
        <f>'DATA Meta-conf'!V109*'DATA Meta-conf'!V89/1000</f>
        <v>139.69153021577736</v>
      </c>
      <c r="S61" s="161">
        <f>'DATA Meta-conf'!W109*'DATA Meta-conf'!W89/1000</f>
        <v>138.2107999954901</v>
      </c>
    </row>
    <row r="62" spans="1:19" ht="15" customHeight="1">
      <c r="A62" s="155" t="s">
        <v>30</v>
      </c>
      <c r="B62" s="159">
        <f>'DATA Meta-conf'!F110*'DATA Meta-conf'!F90/1000</f>
        <v>7.221267288111202</v>
      </c>
      <c r="C62" s="160">
        <f>'DATA Meta-conf'!G110*'DATA Meta-conf'!G90/1000</f>
        <v>8.65829947844533</v>
      </c>
      <c r="D62" s="160">
        <f>'DATA Meta-conf'!H110*'DATA Meta-conf'!H90/1000</f>
        <v>10.381301074655953</v>
      </c>
      <c r="E62" s="160">
        <f>'DATA Meta-conf'!I110*'DATA Meta-conf'!I90/1000</f>
        <v>12.447179988512492</v>
      </c>
      <c r="F62" s="160">
        <f>'DATA Meta-conf'!J110*'DATA Meta-conf'!J90/1000</f>
        <v>14.924168806226481</v>
      </c>
      <c r="G62" s="160">
        <f>'DATA Meta-conf'!K110*'DATA Meta-conf'!K90/1000</f>
        <v>17.894078398665552</v>
      </c>
      <c r="H62" s="160">
        <f>'DATA Meta-conf'!L110*'DATA Meta-conf'!L90/1000</f>
        <v>21.455</v>
      </c>
      <c r="I62" s="160">
        <f>'DATA Meta-conf'!M110*'DATA Meta-conf'!M90/1000</f>
        <v>24.563829500000004</v>
      </c>
      <c r="J62" s="160">
        <f>'DATA Meta-conf'!N110*'DATA Meta-conf'!N90/1000</f>
        <v>28.123128394550008</v>
      </c>
      <c r="K62" s="160">
        <f>'DATA Meta-conf'!O110*'DATA Meta-conf'!O90/1000</f>
        <v>32.19816969892031</v>
      </c>
      <c r="L62" s="161">
        <f>'DATA Meta-conf'!P110*'DATA Meta-conf'!P90/1000</f>
        <v>36.86368448829387</v>
      </c>
      <c r="M62" s="159">
        <f>'DATA Meta-conf'!Q110*'DATA Meta-conf'!Q90/1000</f>
        <v>42.20523237064765</v>
      </c>
      <c r="N62" s="161">
        <f>'DATA Meta-conf'!R110*'DATA Meta-conf'!R90/1000</f>
        <v>48.3207705411545</v>
      </c>
      <c r="O62" s="159">
        <f>'DATA Meta-conf'!S110*'DATA Meta-conf'!S90/1000</f>
        <v>54.28838570298709</v>
      </c>
      <c r="P62" s="160">
        <f>'DATA Meta-conf'!T110*'DATA Meta-conf'!T90/1000</f>
        <v>60.99300133730601</v>
      </c>
      <c r="Q62" s="160">
        <f>'DATA Meta-conf'!U110*'DATA Meta-conf'!U90/1000</f>
        <v>68.52563700246331</v>
      </c>
      <c r="R62" s="160">
        <f>'DATA Meta-conf'!V110*'DATA Meta-conf'!V90/1000</f>
        <v>76.98855317226752</v>
      </c>
      <c r="S62" s="161">
        <f>'DATA Meta-conf'!W110*'DATA Meta-conf'!W90/1000</f>
        <v>86.4966394890426</v>
      </c>
    </row>
    <row r="63" spans="1:19" ht="15" customHeight="1">
      <c r="A63" s="155" t="s">
        <v>84</v>
      </c>
      <c r="B63" s="159">
        <f>'DATA Meta-conf'!F111*'DATA Meta-conf'!F91/1000</f>
        <v>4.301291347009782</v>
      </c>
      <c r="C63" s="160">
        <f>'DATA Meta-conf'!G111*'DATA Meta-conf'!G91/1000</f>
        <v>4.73142048171076</v>
      </c>
      <c r="D63" s="160">
        <f>'DATA Meta-conf'!H111*'DATA Meta-conf'!H91/1000</f>
        <v>5.204562529881837</v>
      </c>
      <c r="E63" s="160">
        <f>'DATA Meta-conf'!I111*'DATA Meta-conf'!I91/1000</f>
        <v>5.725018782870021</v>
      </c>
      <c r="F63" s="160">
        <f>'DATA Meta-conf'!J111*'DATA Meta-conf'!J91/1000</f>
        <v>6.297520661157024</v>
      </c>
      <c r="G63" s="160">
        <f>'DATA Meta-conf'!K111*'DATA Meta-conf'!K91/1000</f>
        <v>6.927272727272727</v>
      </c>
      <c r="H63" s="160">
        <f>'DATA Meta-conf'!L111*'DATA Meta-conf'!L91/1000</f>
        <v>7.62</v>
      </c>
      <c r="I63" s="160">
        <f>'DATA Meta-conf'!M111*'DATA Meta-conf'!M91/1000</f>
        <v>8.305800000000001</v>
      </c>
      <c r="J63" s="160">
        <f>'DATA Meta-conf'!N111*'DATA Meta-conf'!N91/1000</f>
        <v>9.053322000000001</v>
      </c>
      <c r="K63" s="160">
        <f>'DATA Meta-conf'!O111*'DATA Meta-conf'!O91/1000</f>
        <v>9.868120980000004</v>
      </c>
      <c r="L63" s="161">
        <f>'DATA Meta-conf'!P111*'DATA Meta-conf'!P91/1000</f>
        <v>10.756251868200005</v>
      </c>
      <c r="M63" s="159">
        <f>'DATA Meta-conf'!Q111*'DATA Meta-conf'!Q91/1000</f>
        <v>11.724314536338007</v>
      </c>
      <c r="N63" s="161">
        <f>'DATA Meta-conf'!R111*'DATA Meta-conf'!R91/1000</f>
        <v>12.779502844608425</v>
      </c>
      <c r="O63" s="159">
        <f>'DATA Meta-conf'!S111*'DATA Meta-conf'!S91/1000</f>
        <v>13.929658100623184</v>
      </c>
      <c r="P63" s="160">
        <f>'DATA Meta-conf'!T111*'DATA Meta-conf'!T91/1000</f>
        <v>15.183327329679273</v>
      </c>
      <c r="Q63" s="160">
        <f>'DATA Meta-conf'!U111*'DATA Meta-conf'!U91/1000</f>
        <v>16.54982678935041</v>
      </c>
      <c r="R63" s="160">
        <f>'DATA Meta-conf'!V111*'DATA Meta-conf'!V91/1000</f>
        <v>18.039311200391946</v>
      </c>
      <c r="S63" s="161">
        <f>'DATA Meta-conf'!W111*'DATA Meta-conf'!W91/1000</f>
        <v>19.66284920842722</v>
      </c>
    </row>
    <row r="64" spans="1:19" ht="15" customHeight="1">
      <c r="A64" s="155" t="s">
        <v>86</v>
      </c>
      <c r="B64" s="159">
        <f>'DATA Meta-conf'!F112*'DATA Meta-conf'!F92/1000</f>
        <v>5.732474550357578</v>
      </c>
      <c r="C64" s="160">
        <f>'DATA Meta-conf'!G112*'DATA Meta-conf'!G92/1000</f>
        <v>4.872603367803941</v>
      </c>
      <c r="D64" s="160">
        <f>'DATA Meta-conf'!H112*'DATA Meta-conf'!H92/1000</f>
        <v>4.14171286263335</v>
      </c>
      <c r="E64" s="160">
        <f>'DATA Meta-conf'!I112*'DATA Meta-conf'!I92/1000</f>
        <v>3.520455933238347</v>
      </c>
      <c r="F64" s="160">
        <f>'DATA Meta-conf'!J112*'DATA Meta-conf'!J92/1000</f>
        <v>2.9923875432525953</v>
      </c>
      <c r="G64" s="160">
        <f>'DATA Meta-conf'!K112*'DATA Meta-conf'!K92/1000</f>
        <v>2.543529411764706</v>
      </c>
      <c r="H64" s="160">
        <f>'DATA Meta-conf'!L112*'DATA Meta-conf'!L92/1000</f>
        <v>2.162</v>
      </c>
      <c r="I64" s="160">
        <f>'DATA Meta-conf'!M112*'DATA Meta-conf'!M92/1000</f>
        <v>1.9674200000000002</v>
      </c>
      <c r="J64" s="160">
        <f>'DATA Meta-conf'!N112*'DATA Meta-conf'!N92/1000</f>
        <v>1.7903522</v>
      </c>
      <c r="K64" s="160">
        <f>'DATA Meta-conf'!O112*'DATA Meta-conf'!O92/1000</f>
        <v>1.6292205020000001</v>
      </c>
      <c r="L64" s="161">
        <f>'DATA Meta-conf'!P112*'DATA Meta-conf'!P92/1000</f>
        <v>1.4825906568200002</v>
      </c>
      <c r="M64" s="159">
        <f>'DATA Meta-conf'!Q112*'DATA Meta-conf'!Q92/1000</f>
        <v>1.3491574977062002</v>
      </c>
      <c r="N64" s="161">
        <f>'DATA Meta-conf'!R112*'DATA Meta-conf'!R92/1000</f>
        <v>1.2277333229126424</v>
      </c>
      <c r="O64" s="159">
        <f>'DATA Meta-conf'!S112*'DATA Meta-conf'!S92/1000</f>
        <v>1.1172373238505044</v>
      </c>
      <c r="P64" s="160">
        <f>'DATA Meta-conf'!T112*'DATA Meta-conf'!T92/1000</f>
        <v>1.0166859647039592</v>
      </c>
      <c r="Q64" s="160">
        <f>'DATA Meta-conf'!U112*'DATA Meta-conf'!U92/1000</f>
        <v>0.9251842278806028</v>
      </c>
      <c r="R64" s="160">
        <f>'DATA Meta-conf'!V112*'DATA Meta-conf'!V92/1000</f>
        <v>0.8419176473713486</v>
      </c>
      <c r="S64" s="161">
        <f>'DATA Meta-conf'!W112*'DATA Meta-conf'!W92/1000</f>
        <v>0.7661450591079273</v>
      </c>
    </row>
    <row r="65" spans="1:19" ht="15" customHeight="1">
      <c r="A65" s="212" t="s">
        <v>88</v>
      </c>
      <c r="B65" s="159">
        <f>'DATA Meta-conf'!F113*'DATA Meta-conf'!F93/1000</f>
        <v>19.059965952</v>
      </c>
      <c r="C65" s="160">
        <f>'DATA Meta-conf'!G113*'DATA Meta-conf'!G93/1000</f>
        <v>23.824957440000002</v>
      </c>
      <c r="D65" s="160">
        <f>'DATA Meta-conf'!H113*'DATA Meta-conf'!H93/1000</f>
        <v>29.7811968</v>
      </c>
      <c r="E65" s="160">
        <f>'DATA Meta-conf'!I113*'DATA Meta-conf'!I93/1000</f>
        <v>37.226496</v>
      </c>
      <c r="F65" s="160">
        <f>'DATA Meta-conf'!J113*'DATA Meta-conf'!J93/1000</f>
        <v>46.53312</v>
      </c>
      <c r="G65" s="160">
        <f>'DATA Meta-conf'!K113*'DATA Meta-conf'!K93/1000</f>
        <v>58.1664</v>
      </c>
      <c r="H65" s="160">
        <f>'DATA Meta-conf'!L113*'DATA Meta-conf'!L93/1000</f>
        <v>72.708</v>
      </c>
      <c r="I65" s="160">
        <f>'DATA Meta-conf'!M113*'DATA Meta-conf'!M93/1000</f>
        <v>80.814942</v>
      </c>
      <c r="J65" s="160">
        <f>'DATA Meta-conf'!N113*'DATA Meta-conf'!N93/1000</f>
        <v>89.82580803299997</v>
      </c>
      <c r="K65" s="160">
        <f>'DATA Meta-conf'!O113*'DATA Meta-conf'!O93/1000</f>
        <v>99.84138562867948</v>
      </c>
      <c r="L65" s="161">
        <f>'DATA Meta-conf'!P113*'DATA Meta-conf'!P93/1000</f>
        <v>110.97370012627722</v>
      </c>
      <c r="M65" s="159">
        <f>'DATA Meta-conf'!Q113*'DATA Meta-conf'!Q93/1000</f>
        <v>123.34726769035711</v>
      </c>
      <c r="N65" s="161">
        <f>'DATA Meta-conf'!R113*'DATA Meta-conf'!R93/1000</f>
        <v>137.1004880378319</v>
      </c>
      <c r="O65" s="159">
        <f>'DATA Meta-conf'!S113*'DATA Meta-conf'!S93/1000</f>
        <v>152.3871924540501</v>
      </c>
      <c r="P65" s="160">
        <f>'DATA Meta-conf'!T113*'DATA Meta-conf'!T93/1000</f>
        <v>169.37836441267672</v>
      </c>
      <c r="Q65" s="160">
        <f>'DATA Meta-conf'!U113*'DATA Meta-conf'!U93/1000</f>
        <v>188.26405204469015</v>
      </c>
      <c r="R65" s="160">
        <f>'DATA Meta-conf'!V113*'DATA Meta-conf'!V93/1000</f>
        <v>209.25549384767305</v>
      </c>
      <c r="S65" s="161">
        <f>'DATA Meta-conf'!W113*'DATA Meta-conf'!W93/1000</f>
        <v>232.58748141168857</v>
      </c>
    </row>
    <row r="66" spans="1:19" ht="15" customHeight="1">
      <c r="A66" s="155" t="s">
        <v>90</v>
      </c>
      <c r="B66" s="159">
        <f>'DATA Meta-conf'!F114*'DATA Meta-conf'!F94/1000</f>
        <v>526.7244647479677</v>
      </c>
      <c r="C66" s="160">
        <f>'DATA Meta-conf'!G114*'DATA Meta-conf'!G94/1000</f>
        <v>523.9328250848033</v>
      </c>
      <c r="D66" s="160">
        <f>'DATA Meta-conf'!H114*'DATA Meta-conf'!H94/1000</f>
        <v>521.1559811118537</v>
      </c>
      <c r="E66" s="160">
        <f>'DATA Meta-conf'!I114*'DATA Meta-conf'!I94/1000</f>
        <v>518.3938544119609</v>
      </c>
      <c r="F66" s="160">
        <f>'DATA Meta-conf'!J114*'DATA Meta-conf'!J94/1000</f>
        <v>515.6463669835774</v>
      </c>
      <c r="G66" s="160">
        <f>'DATA Meta-conf'!K114*'DATA Meta-conf'!K94/1000</f>
        <v>512.9134412385645</v>
      </c>
      <c r="H66" s="160">
        <f>'DATA Meta-conf'!L114*'DATA Meta-conf'!L94/1000</f>
        <v>510.195</v>
      </c>
      <c r="I66" s="160">
        <f>'DATA Meta-conf'!M114*'DATA Meta-conf'!M94/1000</f>
        <v>533.38336275</v>
      </c>
      <c r="J66" s="160">
        <f>'DATA Meta-conf'!N114*'DATA Meta-conf'!N94/1000</f>
        <v>557.6256365869875</v>
      </c>
      <c r="K66" s="160">
        <f>'DATA Meta-conf'!O114*'DATA Meta-conf'!O94/1000</f>
        <v>582.969721769866</v>
      </c>
      <c r="L66" s="161">
        <f>'DATA Meta-conf'!P114*'DATA Meta-conf'!P94/1000</f>
        <v>609.4656956243065</v>
      </c>
      <c r="M66" s="159">
        <f>'DATA Meta-conf'!Q114*'DATA Meta-conf'!Q94/1000</f>
        <v>637.1659114904312</v>
      </c>
      <c r="N66" s="161">
        <f>'DATA Meta-conf'!R114*'DATA Meta-conf'!R94/1000</f>
        <v>666.1251021676712</v>
      </c>
      <c r="O66" s="159">
        <f>'DATA Meta-conf'!S114*'DATA Meta-conf'!S94/1000</f>
        <v>696.4004880611917</v>
      </c>
      <c r="P66" s="160">
        <f>'DATA Meta-conf'!T114*'DATA Meta-conf'!T94/1000</f>
        <v>728.0518902435728</v>
      </c>
      <c r="Q66" s="160">
        <f>'DATA Meta-conf'!U114*'DATA Meta-conf'!U94/1000</f>
        <v>761.1418486551431</v>
      </c>
      <c r="R66" s="160">
        <f>'DATA Meta-conf'!V114*'DATA Meta-conf'!V94/1000</f>
        <v>795.7357456765195</v>
      </c>
      <c r="S66" s="161">
        <f>'DATA Meta-conf'!W114*'DATA Meta-conf'!W94/1000</f>
        <v>831.9019353175173</v>
      </c>
    </row>
    <row r="67" spans="1:19" ht="15" customHeight="1">
      <c r="A67" s="155" t="s">
        <v>92</v>
      </c>
      <c r="B67" s="159">
        <f>'DATA Meta-conf'!F115*'DATA Meta-conf'!F95/1000</f>
        <v>12.418426461183097</v>
      </c>
      <c r="C67" s="160">
        <f>'DATA Meta-conf'!G115*'DATA Meta-conf'!G95/1000</f>
        <v>13.660269107301408</v>
      </c>
      <c r="D67" s="160">
        <f>'DATA Meta-conf'!H115*'DATA Meta-conf'!H95/1000</f>
        <v>15.026296018031552</v>
      </c>
      <c r="E67" s="160">
        <f>'DATA Meta-conf'!I115*'DATA Meta-conf'!I95/1000</f>
        <v>16.528925619834705</v>
      </c>
      <c r="F67" s="160">
        <f>'DATA Meta-conf'!J115*'DATA Meta-conf'!J95/1000</f>
        <v>18.181818181818176</v>
      </c>
      <c r="G67" s="160">
        <f>'DATA Meta-conf'!K115*'DATA Meta-conf'!K95/1000</f>
        <v>19.999999999999996</v>
      </c>
      <c r="H67" s="160">
        <f>'DATA Meta-conf'!L115*'DATA Meta-conf'!L95/1000</f>
        <v>22</v>
      </c>
      <c r="I67" s="160">
        <f>'DATA Meta-conf'!M115*'DATA Meta-conf'!M95/1000</f>
        <v>24.2</v>
      </c>
      <c r="J67" s="160">
        <f>'DATA Meta-conf'!N115*'DATA Meta-conf'!N95/1000</f>
        <v>26.62</v>
      </c>
      <c r="K67" s="160">
        <f>'DATA Meta-conf'!O115*'DATA Meta-conf'!O95/1000</f>
        <v>29.282000000000004</v>
      </c>
      <c r="L67" s="161">
        <f>'DATA Meta-conf'!P115*'DATA Meta-conf'!P95/1000</f>
        <v>32.21020000000001</v>
      </c>
      <c r="M67" s="159">
        <f>'DATA Meta-conf'!Q115*'DATA Meta-conf'!Q95/1000</f>
        <v>35.43122000000001</v>
      </c>
      <c r="N67" s="161">
        <f>'DATA Meta-conf'!R115*'DATA Meta-conf'!R95/1000</f>
        <v>38.974342000000014</v>
      </c>
      <c r="O67" s="159">
        <f>'DATA Meta-conf'!S115*'DATA Meta-conf'!S95/1000</f>
        <v>42.87177620000001</v>
      </c>
      <c r="P67" s="160">
        <f>'DATA Meta-conf'!T115*'DATA Meta-conf'!T95/1000</f>
        <v>47.158953820000015</v>
      </c>
      <c r="Q67" s="160">
        <f>'DATA Meta-conf'!U115*'DATA Meta-conf'!U95/1000</f>
        <v>51.87484920200003</v>
      </c>
      <c r="R67" s="160">
        <f>'DATA Meta-conf'!V115*'DATA Meta-conf'!V95/1000</f>
        <v>57.06233412220003</v>
      </c>
      <c r="S67" s="161">
        <f>'DATA Meta-conf'!W115*'DATA Meta-conf'!W95/1000</f>
        <v>62.768567534420036</v>
      </c>
    </row>
    <row r="68" spans="1:19" ht="15" customHeight="1">
      <c r="A68" s="155" t="s">
        <v>94</v>
      </c>
      <c r="B68" s="159">
        <f>'DATA Meta-conf'!F116*'DATA Meta-conf'!F96/1000</f>
        <v>36.275436731013684</v>
      </c>
      <c r="C68" s="160">
        <f>'DATA Meta-conf'!G116*'DATA Meta-conf'!G96/1000</f>
        <v>37.72645420025424</v>
      </c>
      <c r="D68" s="160">
        <f>'DATA Meta-conf'!H116*'DATA Meta-conf'!H96/1000</f>
        <v>39.2355123682644</v>
      </c>
      <c r="E68" s="160">
        <f>'DATA Meta-conf'!I116*'DATA Meta-conf'!I96/1000</f>
        <v>40.80493286299498</v>
      </c>
      <c r="F68" s="160">
        <f>'DATA Meta-conf'!J116*'DATA Meta-conf'!J96/1000</f>
        <v>42.43713017751479</v>
      </c>
      <c r="G68" s="160">
        <f>'DATA Meta-conf'!K116*'DATA Meta-conf'!K96/1000</f>
        <v>44.13461538461538</v>
      </c>
      <c r="H68" s="160">
        <f>'DATA Meta-conf'!L116*'DATA Meta-conf'!L96/1000</f>
        <v>45.9</v>
      </c>
      <c r="I68" s="160">
        <f>'DATA Meta-conf'!M116*'DATA Meta-conf'!M96/1000</f>
        <v>46.9557</v>
      </c>
      <c r="J68" s="160">
        <f>'DATA Meta-conf'!N116*'DATA Meta-conf'!N96/1000</f>
        <v>48.03568109999999</v>
      </c>
      <c r="K68" s="160">
        <f>'DATA Meta-conf'!O116*'DATA Meta-conf'!O96/1000</f>
        <v>49.14050176529999</v>
      </c>
      <c r="L68" s="161">
        <f>'DATA Meta-conf'!P116*'DATA Meta-conf'!P96/1000</f>
        <v>50.27073330590188</v>
      </c>
      <c r="M68" s="159">
        <f>'DATA Meta-conf'!Q116*'DATA Meta-conf'!Q96/1000</f>
        <v>51.42696017193762</v>
      </c>
      <c r="N68" s="161">
        <f>'DATA Meta-conf'!R116*'DATA Meta-conf'!R96/1000</f>
        <v>52.60978025589218</v>
      </c>
      <c r="O68" s="159">
        <f>'DATA Meta-conf'!S116*'DATA Meta-conf'!S96/1000</f>
        <v>53.81980520177769</v>
      </c>
      <c r="P68" s="160">
        <f>'DATA Meta-conf'!T116*'DATA Meta-conf'!T96/1000</f>
        <v>55.05766072141857</v>
      </c>
      <c r="Q68" s="160">
        <f>'DATA Meta-conf'!U116*'DATA Meta-conf'!U96/1000</f>
        <v>56.3239869180112</v>
      </c>
      <c r="R68" s="160">
        <f>'DATA Meta-conf'!V116*'DATA Meta-conf'!V96/1000</f>
        <v>57.619438617125454</v>
      </c>
      <c r="S68" s="161">
        <f>'DATA Meta-conf'!W116*'DATA Meta-conf'!W96/1000</f>
        <v>58.94468570531933</v>
      </c>
    </row>
    <row r="69" spans="1:19" ht="15" customHeight="1">
      <c r="A69" s="155" t="s">
        <v>96</v>
      </c>
      <c r="B69" s="159">
        <f>'DATA Meta-conf'!F117*'DATA Meta-conf'!F97/1000</f>
        <v>2.5360462675237647</v>
      </c>
      <c r="C69" s="160">
        <f>'DATA Meta-conf'!G117*'DATA Meta-conf'!G97/1000</f>
        <v>2.5867671928742397</v>
      </c>
      <c r="D69" s="160">
        <f>'DATA Meta-conf'!H117*'DATA Meta-conf'!H97/1000</f>
        <v>2.6385025367317243</v>
      </c>
      <c r="E69" s="160">
        <f>'DATA Meta-conf'!I117*'DATA Meta-conf'!I97/1000</f>
        <v>2.691272587466359</v>
      </c>
      <c r="F69" s="160">
        <f>'DATA Meta-conf'!J117*'DATA Meta-conf'!J97/1000</f>
        <v>2.7450980392156863</v>
      </c>
      <c r="G69" s="160">
        <f>'DATA Meta-conf'!K117*'DATA Meta-conf'!K97/1000</f>
        <v>2.8</v>
      </c>
      <c r="H69" s="160">
        <f>'DATA Meta-conf'!L117*'DATA Meta-conf'!L97/1000</f>
        <v>2.856</v>
      </c>
      <c r="I69" s="160">
        <f>'DATA Meta-conf'!M117*'DATA Meta-conf'!M97/1000</f>
        <v>2.9131199999999997</v>
      </c>
      <c r="J69" s="160">
        <f>'DATA Meta-conf'!N117*'DATA Meta-conf'!N97/1000</f>
        <v>2.9713824</v>
      </c>
      <c r="K69" s="160">
        <f>'DATA Meta-conf'!O117*'DATA Meta-conf'!O97/1000</f>
        <v>3.0308100479999998</v>
      </c>
      <c r="L69" s="161">
        <f>'DATA Meta-conf'!P117*'DATA Meta-conf'!P97/1000</f>
        <v>3.09142624896</v>
      </c>
      <c r="M69" s="159">
        <f>'DATA Meta-conf'!Q117*'DATA Meta-conf'!Q97/1000</f>
        <v>3.1532547739392003</v>
      </c>
      <c r="N69" s="161">
        <f>'DATA Meta-conf'!R117*'DATA Meta-conf'!R97/1000</f>
        <v>3.216319869417984</v>
      </c>
      <c r="O69" s="159">
        <f>'DATA Meta-conf'!S117*'DATA Meta-conf'!S97/1000</f>
        <v>3.280646266806344</v>
      </c>
      <c r="P69" s="160">
        <f>'DATA Meta-conf'!T117*'DATA Meta-conf'!T97/1000</f>
        <v>3.346259192142471</v>
      </c>
      <c r="Q69" s="160">
        <f>'DATA Meta-conf'!U117*'DATA Meta-conf'!U97/1000</f>
        <v>3.4131843759853204</v>
      </c>
      <c r="R69" s="160">
        <f>'DATA Meta-conf'!V117*'DATA Meta-conf'!V97/1000</f>
        <v>3.481448063505027</v>
      </c>
      <c r="S69" s="161">
        <f>'DATA Meta-conf'!W117*'DATA Meta-conf'!W97/1000</f>
        <v>3.5510770247751275</v>
      </c>
    </row>
    <row r="70" spans="1:19" ht="15" customHeight="1">
      <c r="A70" s="155" t="s">
        <v>5</v>
      </c>
      <c r="B70" s="159">
        <f>'DATA Meta-conf'!F118*'DATA Meta-conf'!F98/1000</f>
        <v>0.011061728395061728</v>
      </c>
      <c r="C70" s="160">
        <f>'DATA Meta-conf'!G118*'DATA Meta-conf'!G98/1000</f>
        <v>0.016592592592592593</v>
      </c>
      <c r="D70" s="160">
        <f>'DATA Meta-conf'!H118*'DATA Meta-conf'!H98/1000</f>
        <v>0.02488888888888889</v>
      </c>
      <c r="E70" s="160">
        <f>'DATA Meta-conf'!I118*'DATA Meta-conf'!I98/1000</f>
        <v>0.037333333333333336</v>
      </c>
      <c r="F70" s="160">
        <f>'DATA Meta-conf'!J118*'DATA Meta-conf'!J98/1000</f>
        <v>0.056</v>
      </c>
      <c r="G70" s="160">
        <f>'DATA Meta-conf'!K118*'DATA Meta-conf'!K98/1000</f>
        <v>0.084</v>
      </c>
      <c r="H70" s="160">
        <f>'DATA Meta-conf'!L118*'DATA Meta-conf'!L98/1000</f>
        <v>0.126</v>
      </c>
      <c r="I70" s="160">
        <f>'DATA Meta-conf'!M118*'DATA Meta-conf'!M98/1000</f>
        <v>0.17992799999999998</v>
      </c>
      <c r="J70" s="160">
        <f>'DATA Meta-conf'!N118*'DATA Meta-conf'!N98/1000</f>
        <v>0.25693718399999993</v>
      </c>
      <c r="K70" s="160">
        <f>'DATA Meta-conf'!O118*'DATA Meta-conf'!O98/1000</f>
        <v>0.36690629875199987</v>
      </c>
      <c r="L70" s="161">
        <f>'DATA Meta-conf'!P118*'DATA Meta-conf'!P98/1000</f>
        <v>0.5239421946178558</v>
      </c>
      <c r="M70" s="159">
        <f>'DATA Meta-conf'!Q118*'DATA Meta-conf'!Q98/1000</f>
        <v>0.6308458487222857</v>
      </c>
      <c r="N70" s="161">
        <f>'DATA Meta-conf'!R118*'DATA Meta-conf'!R98/1000</f>
        <v>0.75956181605187</v>
      </c>
      <c r="O70" s="159">
        <f>'DATA Meta-conf'!S118*'DATA Meta-conf'!S98/1000</f>
        <v>0.9145406180805288</v>
      </c>
      <c r="P70" s="160">
        <f>'DATA Meta-conf'!T118*'DATA Meta-conf'!T98/1000</f>
        <v>1.1011408478464106</v>
      </c>
      <c r="Q70" s="160">
        <f>'DATA Meta-conf'!U118*'DATA Meta-conf'!U98/1000</f>
        <v>1.3258144502545712</v>
      </c>
      <c r="R70" s="160">
        <f>'DATA Meta-conf'!V118*'DATA Meta-conf'!V98/1000</f>
        <v>1.5963298064381772</v>
      </c>
      <c r="S70" s="161">
        <f>'DATA Meta-conf'!W118*'DATA Meta-conf'!W98/1000</f>
        <v>1.9220403356092945</v>
      </c>
    </row>
    <row r="71" spans="1:19" ht="15" customHeight="1">
      <c r="A71" s="155" t="s">
        <v>33</v>
      </c>
      <c r="B71" s="159">
        <f>'DATA Meta-conf'!F119*'DATA Meta-conf'!F99/1000</f>
        <v>0.2690797285117256</v>
      </c>
      <c r="C71" s="160">
        <f>'DATA Meta-conf'!G119*'DATA Meta-conf'!G99/1000</f>
        <v>0.4843435113211062</v>
      </c>
      <c r="D71" s="160">
        <f>'DATA Meta-conf'!H119*'DATA Meta-conf'!H99/1000</f>
        <v>0.8718183203779911</v>
      </c>
      <c r="E71" s="160">
        <f>'DATA Meta-conf'!I119*'DATA Meta-conf'!I99/1000</f>
        <v>1.5692729766803841</v>
      </c>
      <c r="F71" s="160">
        <f>'DATA Meta-conf'!J119*'DATA Meta-conf'!J99/1000</f>
        <v>2.8246913580246913</v>
      </c>
      <c r="G71" s="160">
        <f>'DATA Meta-conf'!K119*'DATA Meta-conf'!K99/1000</f>
        <v>5.084444444444444</v>
      </c>
      <c r="H71" s="160">
        <f>'DATA Meta-conf'!L119*'DATA Meta-conf'!L99/1000</f>
        <v>9.152</v>
      </c>
      <c r="I71" s="160">
        <f>'DATA Meta-conf'!M119*'DATA Meta-conf'!M99/1000</f>
        <v>14.00256</v>
      </c>
      <c r="J71" s="160">
        <f>'DATA Meta-conf'!N119*'DATA Meta-conf'!N99/1000</f>
        <v>21.423916800000004</v>
      </c>
      <c r="K71" s="160">
        <f>'DATA Meta-conf'!O119*'DATA Meta-conf'!O99/1000</f>
        <v>32.778592704000005</v>
      </c>
      <c r="L71" s="161">
        <f>'DATA Meta-conf'!P119*'DATA Meta-conf'!P99/1000</f>
        <v>50.15124683712</v>
      </c>
      <c r="M71" s="159">
        <f>'DATA Meta-conf'!Q119*'DATA Meta-conf'!Q99/1000</f>
        <v>76.73140766079362</v>
      </c>
      <c r="N71" s="161">
        <f>'DATA Meta-conf'!R119*'DATA Meta-conf'!R99/1000</f>
        <v>117.39905372101423</v>
      </c>
      <c r="O71" s="159">
        <f>'DATA Meta-conf'!S119*'DATA Meta-conf'!S99/1000</f>
        <v>179.62055219315175</v>
      </c>
      <c r="P71" s="160">
        <f>'DATA Meta-conf'!T119*'DATA Meta-conf'!T99/1000</f>
        <v>274.8194448555222</v>
      </c>
      <c r="Q71" s="160">
        <f>'DATA Meta-conf'!U119*'DATA Meta-conf'!U99/1000</f>
        <v>420.4737506289489</v>
      </c>
      <c r="R71" s="160">
        <f>'DATA Meta-conf'!V119*'DATA Meta-conf'!V99/1000</f>
        <v>643.3248384622918</v>
      </c>
      <c r="S71" s="161">
        <f>'DATA Meta-conf'!W119*'DATA Meta-conf'!W99/1000</f>
        <v>984.2870028473066</v>
      </c>
    </row>
    <row r="72" spans="1:19" ht="15" customHeight="1">
      <c r="A72" s="155" t="s">
        <v>101</v>
      </c>
      <c r="B72" s="159">
        <f>'DATA Meta-conf'!F120*'DATA Meta-conf'!F100/1000</f>
        <v>26.925291174243004</v>
      </c>
      <c r="C72" s="160">
        <f>'DATA Meta-conf'!G120*'DATA Meta-conf'!G100/1000</f>
        <v>33.27965989136435</v>
      </c>
      <c r="D72" s="160">
        <f>'DATA Meta-conf'!H120*'DATA Meta-conf'!H100/1000</f>
        <v>41.133659625726345</v>
      </c>
      <c r="E72" s="160">
        <f>'DATA Meta-conf'!I120*'DATA Meta-conf'!I100/1000</f>
        <v>50.841203297397755</v>
      </c>
      <c r="F72" s="160">
        <f>'DATA Meta-conf'!J120*'DATA Meta-conf'!J100/1000</f>
        <v>62.83972727558363</v>
      </c>
      <c r="G72" s="160">
        <f>'DATA Meta-conf'!K120*'DATA Meta-conf'!K100/1000</f>
        <v>77.66990291262135</v>
      </c>
      <c r="H72" s="160">
        <f>'DATA Meta-conf'!L120*'DATA Meta-conf'!L100/1000</f>
        <v>96</v>
      </c>
      <c r="I72" s="160">
        <f>'DATA Meta-conf'!M120*'DATA Meta-conf'!M100/1000</f>
        <v>113.71199999999999</v>
      </c>
      <c r="J72" s="160">
        <f>'DATA Meta-conf'!N120*'DATA Meta-conf'!N100/1000</f>
        <v>134.691864</v>
      </c>
      <c r="K72" s="160">
        <f>'DATA Meta-conf'!O120*'DATA Meta-conf'!O100/1000</f>
        <v>159.54251290799996</v>
      </c>
      <c r="L72" s="161">
        <f>'DATA Meta-conf'!P120*'DATA Meta-conf'!P100/1000</f>
        <v>188.97810653952598</v>
      </c>
      <c r="M72" s="159">
        <f>'DATA Meta-conf'!Q120*'DATA Meta-conf'!Q100/1000</f>
        <v>223.84456719606854</v>
      </c>
      <c r="N72" s="161">
        <f>'DATA Meta-conf'!R120*'DATA Meta-conf'!R100/1000</f>
        <v>265.1438898437432</v>
      </c>
      <c r="O72" s="159">
        <f>'DATA Meta-conf'!S120*'DATA Meta-conf'!S100/1000</f>
        <v>314.06293751991376</v>
      </c>
      <c r="P72" s="160">
        <f>'DATA Meta-conf'!T120*'DATA Meta-conf'!T100/1000</f>
        <v>372.0075494923378</v>
      </c>
      <c r="Q72" s="160">
        <f>'DATA Meta-conf'!U120*'DATA Meta-conf'!U100/1000</f>
        <v>440.6429423736741</v>
      </c>
      <c r="R72" s="160">
        <f>'DATA Meta-conf'!V120*'DATA Meta-conf'!V100/1000</f>
        <v>521.941565241617</v>
      </c>
      <c r="S72" s="161">
        <f>'DATA Meta-conf'!W120*'DATA Meta-conf'!W100/1000</f>
        <v>618.2397840286952</v>
      </c>
    </row>
    <row r="73" spans="1:19" ht="15" customHeight="1">
      <c r="A73" s="155" t="s">
        <v>16</v>
      </c>
      <c r="B73" s="159">
        <f>'DATA Meta-conf'!F121*'DATA Meta-conf'!F101/1000</f>
        <v>10.680749914905551</v>
      </c>
      <c r="C73" s="160">
        <f>'DATA Meta-conf'!G121*'DATA Meta-conf'!G101/1000</f>
        <v>11.748824906396107</v>
      </c>
      <c r="D73" s="160">
        <f>'DATA Meta-conf'!H121*'DATA Meta-conf'!H101/1000</f>
        <v>12.92370739703572</v>
      </c>
      <c r="E73" s="160">
        <f>'DATA Meta-conf'!I121*'DATA Meta-conf'!I101/1000</f>
        <v>14.216078136739291</v>
      </c>
      <c r="F73" s="160">
        <f>'DATA Meta-conf'!J121*'DATA Meta-conf'!J101/1000</f>
        <v>15.637685950413221</v>
      </c>
      <c r="G73" s="160">
        <f>'DATA Meta-conf'!K121*'DATA Meta-conf'!K101/1000</f>
        <v>17.201454545454546</v>
      </c>
      <c r="H73" s="160">
        <f>'DATA Meta-conf'!L121*'DATA Meta-conf'!L101/1000</f>
        <v>18.9216</v>
      </c>
      <c r="I73" s="160">
        <f>'DATA Meta-conf'!M121*'DATA Meta-conf'!M101/1000</f>
        <v>22.705920000000003</v>
      </c>
      <c r="J73" s="160">
        <f>'DATA Meta-conf'!N121*'DATA Meta-conf'!N101/1000</f>
        <v>27.247104</v>
      </c>
      <c r="K73" s="160">
        <f>'DATA Meta-conf'!O121*'DATA Meta-conf'!O101/1000</f>
        <v>32.6965248</v>
      </c>
      <c r="L73" s="161">
        <f>'DATA Meta-conf'!P121*'DATA Meta-conf'!P101/1000</f>
        <v>39.235829759999994</v>
      </c>
      <c r="M73" s="159">
        <f>'DATA Meta-conf'!Q121*'DATA Meta-conf'!Q101/1000</f>
        <v>47.08299571199999</v>
      </c>
      <c r="N73" s="161">
        <f>'DATA Meta-conf'!R121*'DATA Meta-conf'!R101/1000</f>
        <v>56.499594854399994</v>
      </c>
      <c r="O73" s="159">
        <f>'DATA Meta-conf'!S121*'DATA Meta-conf'!S101/1000</f>
        <v>67.79951382527999</v>
      </c>
      <c r="P73" s="160">
        <f>'DATA Meta-conf'!T121*'DATA Meta-conf'!T101/1000</f>
        <v>81.35941659033598</v>
      </c>
      <c r="Q73" s="160">
        <f>'DATA Meta-conf'!U121*'DATA Meta-conf'!U101/1000</f>
        <v>97.63129990840318</v>
      </c>
      <c r="R73" s="160">
        <f>'DATA Meta-conf'!V121*'DATA Meta-conf'!V101/1000</f>
        <v>117.15755989008379</v>
      </c>
      <c r="S73" s="161">
        <f>'DATA Meta-conf'!W121*'DATA Meta-conf'!W101/1000</f>
        <v>140.58907186810055</v>
      </c>
    </row>
    <row r="74" spans="1:19" ht="15" customHeight="1">
      <c r="A74" s="151" t="s">
        <v>328</v>
      </c>
      <c r="B74" s="368">
        <f>SUM(B57:B73)</f>
        <v>968.5805814938881</v>
      </c>
      <c r="C74" s="366">
        <f>SUM(C57:C73)</f>
        <v>986.0228772492006</v>
      </c>
      <c r="D74" s="366">
        <f>SUM(D57:D73)</f>
        <v>1007.820057880764</v>
      </c>
      <c r="E74" s="366">
        <f>SUM(E57:E73)</f>
        <v>1034.852713967025</v>
      </c>
      <c r="F74" s="366">
        <f>SUM(F57:F73)</f>
        <v>1068.2900531365021</v>
      </c>
      <c r="G74" s="366">
        <f aca="true" t="shared" si="11" ref="G74:H74">SUM(G57:G73)</f>
        <v>1109.7189560075742</v>
      </c>
      <c r="H74" s="367">
        <f t="shared" si="11"/>
        <v>1161.3536</v>
      </c>
      <c r="I74" s="366">
        <f>SUM(I57:I73)</f>
        <v>1233.0597222499998</v>
      </c>
      <c r="J74" s="366">
        <f aca="true" t="shared" si="12" ref="J74:K74">SUM(J57:J73)</f>
        <v>1305.6494592425374</v>
      </c>
      <c r="K74" s="366">
        <f t="shared" si="12"/>
        <v>1391.7748660896311</v>
      </c>
      <c r="L74" s="369">
        <f>SUM(L57:L73)</f>
        <v>1492.9651577509464</v>
      </c>
      <c r="M74" s="368">
        <f>SUM(M57:M73)</f>
        <v>1613.672967514071</v>
      </c>
      <c r="N74" s="369">
        <f>SUM(N57:N73)</f>
        <v>1760.442289909261</v>
      </c>
      <c r="O74" s="368">
        <f aca="true" t="shared" si="13" ref="O74:S74">SUM(O57:O73)</f>
        <v>1941.574995040126</v>
      </c>
      <c r="P74" s="366">
        <f t="shared" si="13"/>
        <v>2171.443471928738</v>
      </c>
      <c r="Q74" s="366">
        <f t="shared" si="13"/>
        <v>2470.0427415965587</v>
      </c>
      <c r="R74" s="366">
        <f t="shared" si="13"/>
        <v>2867.0702863141228</v>
      </c>
      <c r="S74" s="369">
        <f t="shared" si="13"/>
        <v>3406.9149980612456</v>
      </c>
    </row>
    <row r="75" spans="1:18" ht="15" customHeight="1">
      <c r="A75" s="374"/>
      <c r="B75" s="375"/>
      <c r="C75" s="375"/>
      <c r="D75" s="375"/>
      <c r="E75" s="375"/>
      <c r="F75" s="375"/>
      <c r="G75" s="375"/>
      <c r="H75" s="376"/>
      <c r="I75" s="375"/>
      <c r="J75" s="375"/>
      <c r="K75" s="375"/>
      <c r="L75" s="375"/>
      <c r="M75" s="375"/>
      <c r="N75" s="375"/>
      <c r="O75" s="371"/>
      <c r="P75" s="371"/>
      <c r="Q75" s="385"/>
      <c r="R75" s="371"/>
    </row>
    <row r="76" spans="1:18" ht="15" customHeight="1">
      <c r="A76" s="374"/>
      <c r="B76" s="375"/>
      <c r="C76" s="375"/>
      <c r="D76" s="375"/>
      <c r="E76" s="375"/>
      <c r="F76" s="375"/>
      <c r="G76" s="375"/>
      <c r="H76" s="376"/>
      <c r="I76" s="375"/>
      <c r="J76" s="375"/>
      <c r="K76" s="375"/>
      <c r="L76" s="375"/>
      <c r="M76" s="375"/>
      <c r="N76" s="375"/>
      <c r="O76" s="371"/>
      <c r="P76" s="371"/>
      <c r="Q76" s="385"/>
      <c r="R76" s="371"/>
    </row>
    <row r="77" spans="1:19" ht="30" customHeight="1">
      <c r="A77" s="151" t="s">
        <v>156</v>
      </c>
      <c r="B77" s="153">
        <v>2013</v>
      </c>
      <c r="C77" s="152">
        <v>2014</v>
      </c>
      <c r="D77" s="152">
        <v>2015</v>
      </c>
      <c r="E77" s="152">
        <v>2016</v>
      </c>
      <c r="F77" s="152">
        <v>2017</v>
      </c>
      <c r="G77" s="152">
        <v>2018</v>
      </c>
      <c r="H77" s="386">
        <v>2019</v>
      </c>
      <c r="I77" s="152">
        <v>2020</v>
      </c>
      <c r="J77" s="152">
        <v>2021</v>
      </c>
      <c r="K77" s="152">
        <v>2022</v>
      </c>
      <c r="L77" s="154">
        <v>2023</v>
      </c>
      <c r="M77" s="153">
        <v>2024</v>
      </c>
      <c r="N77" s="154">
        <v>2025</v>
      </c>
      <c r="O77" s="153">
        <v>2026</v>
      </c>
      <c r="P77" s="152">
        <v>2027</v>
      </c>
      <c r="Q77" s="152">
        <v>2028</v>
      </c>
      <c r="R77" s="152">
        <v>2029</v>
      </c>
      <c r="S77" s="154">
        <v>2030</v>
      </c>
    </row>
    <row r="78" spans="1:19" ht="15" customHeight="1">
      <c r="A78" s="155" t="s">
        <v>158</v>
      </c>
      <c r="B78" s="159">
        <f>'DATA Meta-conf'!F129</f>
        <v>342.72</v>
      </c>
      <c r="C78" s="160">
        <f>'DATA Meta-conf'!G129</f>
        <v>388.8</v>
      </c>
      <c r="D78" s="160">
        <f>'DATA Meta-conf'!H129</f>
        <v>506.48275862068965</v>
      </c>
      <c r="E78" s="160">
        <f>'DATA Meta-conf'!I129</f>
        <v>587.52</v>
      </c>
      <c r="F78" s="160">
        <f>'DATA Meta-conf'!J129</f>
        <v>702</v>
      </c>
      <c r="G78" s="160">
        <f>'DATA Meta-conf'!K129</f>
        <v>807.3</v>
      </c>
      <c r="H78" s="160">
        <f>'DATA Meta-conf'!L129</f>
        <v>928.3949999999999</v>
      </c>
      <c r="I78" s="160">
        <f>'DATA Meta-conf'!M129</f>
        <v>1067.6542499999998</v>
      </c>
      <c r="J78" s="160">
        <f>'DATA Meta-conf'!N129</f>
        <v>1227.8023874999997</v>
      </c>
      <c r="K78" s="160">
        <f>'DATA Meta-conf'!O129</f>
        <v>1411.9727456249996</v>
      </c>
      <c r="L78" s="161">
        <f>'DATA Meta-conf'!P129</f>
        <v>1623.7686574687493</v>
      </c>
      <c r="M78" s="159">
        <f>'DATA Meta-conf'!Q129</f>
        <v>1867.3339560890615</v>
      </c>
      <c r="N78" s="161">
        <f>'DATA Meta-conf'!R129</f>
        <v>2147.4340495024207</v>
      </c>
      <c r="O78" s="159">
        <f>'DATA Meta-conf'!S129</f>
        <v>2468.5557572526777</v>
      </c>
      <c r="P78" s="160">
        <f>'DATA Meta-conf'!T129</f>
        <v>2837.697170759363</v>
      </c>
      <c r="Q78" s="160">
        <f>'DATA Meta-conf'!U129</f>
        <v>3262.039032044213</v>
      </c>
      <c r="R78" s="160">
        <f>'DATA Meta-conf'!V129</f>
        <v>3749.8358726320535</v>
      </c>
      <c r="S78" s="161">
        <f>'DATA Meta-conf'!W129</f>
        <v>4310.576585242899</v>
      </c>
    </row>
    <row r="79" spans="1:19" ht="15" customHeight="1">
      <c r="A79" s="155" t="s">
        <v>161</v>
      </c>
      <c r="B79" s="159">
        <f>'DATA Meta-conf'!F130</f>
        <v>250.92</v>
      </c>
      <c r="C79" s="160">
        <f>'DATA Meta-conf'!G130</f>
        <v>302.4</v>
      </c>
      <c r="D79" s="160">
        <f>'DATA Meta-conf'!H130</f>
        <v>403.2</v>
      </c>
      <c r="E79" s="160">
        <f>'DATA Meta-conf'!I130</f>
        <v>483.84</v>
      </c>
      <c r="F79" s="160">
        <f>'DATA Meta-conf'!J130</f>
        <v>629</v>
      </c>
      <c r="G79" s="160">
        <f>'DATA Meta-conf'!K130</f>
        <v>823.99</v>
      </c>
      <c r="H79" s="160">
        <f>'DATA Meta-conf'!L130</f>
        <v>1079.4269000000002</v>
      </c>
      <c r="I79" s="160">
        <f>'DATA Meta-conf'!M130</f>
        <v>1414.0492390000002</v>
      </c>
      <c r="J79" s="160">
        <f>'DATA Meta-conf'!N130</f>
        <v>1852.4045030900004</v>
      </c>
      <c r="K79" s="160">
        <f>'DATA Meta-conf'!O130</f>
        <v>2426.649899047901</v>
      </c>
      <c r="L79" s="161">
        <f>'DATA Meta-conf'!P130</f>
        <v>3178.9113677527503</v>
      </c>
      <c r="M79" s="159">
        <f>'DATA Meta-conf'!Q130</f>
        <v>4164.373891756103</v>
      </c>
      <c r="N79" s="161">
        <f>'DATA Meta-conf'!R130</f>
        <v>5455.329798200495</v>
      </c>
      <c r="O79" s="159">
        <f>'DATA Meta-conf'!S130</f>
        <v>6970.25552781983</v>
      </c>
      <c r="P79" s="160">
        <f>'DATA Meta-conf'!T130</f>
        <v>8905.870757644947</v>
      </c>
      <c r="Q79" s="160">
        <f>'DATA Meta-conf'!U130</f>
        <v>11378.99946928969</v>
      </c>
      <c r="R79" s="160">
        <f>'DATA Meta-conf'!V130</f>
        <v>14538.907249574208</v>
      </c>
      <c r="S79" s="161">
        <f>'DATA Meta-conf'!W130</f>
        <v>18576.310209188927</v>
      </c>
    </row>
    <row r="80" spans="1:19" ht="15" customHeight="1">
      <c r="A80" s="155" t="s">
        <v>163</v>
      </c>
      <c r="B80" s="159">
        <f>'DATA Meta-conf'!F131</f>
        <v>593.64</v>
      </c>
      <c r="C80" s="160">
        <f>'DATA Meta-conf'!G131</f>
        <v>691.2</v>
      </c>
      <c r="D80" s="160">
        <f>'DATA Meta-conf'!H131</f>
        <v>909.6827586206896</v>
      </c>
      <c r="E80" s="160">
        <f>'DATA Meta-conf'!I131</f>
        <v>1071.36</v>
      </c>
      <c r="F80" s="160">
        <f>'DATA Meta-conf'!J131</f>
        <v>1331</v>
      </c>
      <c r="G80" s="160">
        <f>'DATA Meta-conf'!K131</f>
        <v>1631.29</v>
      </c>
      <c r="H80" s="160">
        <f>'DATA Meta-conf'!L131</f>
        <v>2007.8219</v>
      </c>
      <c r="I80" s="160">
        <f>'DATA Meta-conf'!M131</f>
        <v>2481.703489</v>
      </c>
      <c r="J80" s="160">
        <f>'DATA Meta-conf'!N131</f>
        <v>3080.20689059</v>
      </c>
      <c r="K80" s="160">
        <f>'DATA Meta-conf'!O131</f>
        <v>3838.6226446729006</v>
      </c>
      <c r="L80" s="161">
        <f>'DATA Meta-conf'!P131</f>
        <v>4802.6800252215</v>
      </c>
      <c r="M80" s="159">
        <f>'DATA Meta-conf'!Q131</f>
        <v>6031.707847845165</v>
      </c>
      <c r="N80" s="161">
        <f>'DATA Meta-conf'!R131</f>
        <v>7602.763847702916</v>
      </c>
      <c r="O80" s="159">
        <f>'DATA Meta-conf'!S131</f>
        <v>9438.811285072508</v>
      </c>
      <c r="P80" s="160">
        <f>'DATA Meta-conf'!T131</f>
        <v>11743.56792840431</v>
      </c>
      <c r="Q80" s="160">
        <f>'DATA Meta-conf'!U131</f>
        <v>14641.038501333904</v>
      </c>
      <c r="R80" s="160">
        <f>'DATA Meta-conf'!V131</f>
        <v>18288.743122206262</v>
      </c>
      <c r="S80" s="161">
        <f>'DATA Meta-conf'!W131</f>
        <v>22886.886794431826</v>
      </c>
    </row>
    <row r="81" spans="1:19" ht="15" customHeight="1">
      <c r="A81" s="155" t="s">
        <v>165</v>
      </c>
      <c r="B81" s="159">
        <f>'DATA Meta-conf'!F132</f>
        <v>16</v>
      </c>
      <c r="C81" s="160">
        <f>'DATA Meta-conf'!G132</f>
        <v>28.799999999999955</v>
      </c>
      <c r="D81" s="160">
        <f>'DATA Meta-conf'!H132</f>
        <v>58.9041095890411</v>
      </c>
      <c r="E81" s="160">
        <f>'DATA Meta-conf'!I132</f>
        <v>86</v>
      </c>
      <c r="F81" s="160">
        <f>'DATA Meta-conf'!J132</f>
        <v>133</v>
      </c>
      <c r="G81" s="160">
        <f>'DATA Meta-conf'!K132</f>
        <v>228</v>
      </c>
      <c r="H81" s="160">
        <f>'DATA Meta-conf'!L132</f>
        <v>348</v>
      </c>
      <c r="I81" s="160">
        <f>'DATA Meta-conf'!M132</f>
        <v>476.76000000000005</v>
      </c>
      <c r="J81" s="160">
        <f>'DATA Meta-conf'!N132</f>
        <v>653.1612000000001</v>
      </c>
      <c r="K81" s="160">
        <f>'DATA Meta-conf'!O132</f>
        <v>894.8308440000002</v>
      </c>
      <c r="L81" s="161">
        <f>'DATA Meta-conf'!P132</f>
        <v>1225.9182562800004</v>
      </c>
      <c r="M81" s="159">
        <f>'DATA Meta-conf'!Q132</f>
        <v>1679.5080111036007</v>
      </c>
      <c r="N81" s="161">
        <f>'DATA Meta-conf'!R132</f>
        <v>2300.9259752119333</v>
      </c>
      <c r="O81" s="159">
        <f>'DATA Meta-conf'!S132</f>
        <v>3007.8106875077206</v>
      </c>
      <c r="P81" s="160">
        <f>'DATA Meta-conf'!T132</f>
        <v>3931.8627497576813</v>
      </c>
      <c r="Q81" s="160">
        <f>'DATA Meta-conf'!U132</f>
        <v>5139.799771022775</v>
      </c>
      <c r="R81" s="160">
        <f>'DATA Meta-conf'!V132</f>
        <v>6718.8361770343745</v>
      </c>
      <c r="S81" s="161">
        <f>'DATA Meta-conf'!W132</f>
        <v>8782.980190849512</v>
      </c>
    </row>
    <row r="82" spans="1:19" s="143" customFormat="1" ht="15" customHeight="1">
      <c r="A82" s="197" t="s">
        <v>166</v>
      </c>
      <c r="B82" s="201">
        <f>'DATA Meta-conf'!F133</f>
        <v>609.64</v>
      </c>
      <c r="C82" s="202">
        <f>'DATA Meta-conf'!G133</f>
        <v>720</v>
      </c>
      <c r="D82" s="202">
        <f>'DATA Meta-conf'!H133</f>
        <v>968.5868682097307</v>
      </c>
      <c r="E82" s="202">
        <f>'DATA Meta-conf'!I133</f>
        <v>1157.36</v>
      </c>
      <c r="F82" s="202">
        <f>'DATA Meta-conf'!J133</f>
        <v>1464</v>
      </c>
      <c r="G82" s="202">
        <f>'DATA Meta-conf'!K133</f>
        <v>1859.29</v>
      </c>
      <c r="H82" s="202">
        <f>'DATA Meta-conf'!L133</f>
        <v>2355.8219</v>
      </c>
      <c r="I82" s="202">
        <f>'DATA Meta-conf'!M133</f>
        <v>2958.463489</v>
      </c>
      <c r="J82" s="202">
        <f>'DATA Meta-conf'!N133</f>
        <v>3733.36809059</v>
      </c>
      <c r="K82" s="202">
        <f>'DATA Meta-conf'!O133</f>
        <v>4733.453488672901</v>
      </c>
      <c r="L82" s="259">
        <f>'DATA Meta-conf'!P133</f>
        <v>6028.5982815015</v>
      </c>
      <c r="M82" s="201">
        <f>'DATA Meta-conf'!Q133</f>
        <v>7711.215858948765</v>
      </c>
      <c r="N82" s="259">
        <f>'DATA Meta-conf'!R133</f>
        <v>9903.68982291485</v>
      </c>
      <c r="O82" s="201">
        <f>'DATA Meta-conf'!S133</f>
        <v>12446.62197258023</v>
      </c>
      <c r="P82" s="202">
        <f>'DATA Meta-conf'!T133</f>
        <v>15675.430678161993</v>
      </c>
      <c r="Q82" s="202">
        <f>'DATA Meta-conf'!U133</f>
        <v>19780.83827235668</v>
      </c>
      <c r="R82" s="202">
        <f>'DATA Meta-conf'!V133</f>
        <v>25007.579299240635</v>
      </c>
      <c r="S82" s="259">
        <f>'DATA Meta-conf'!W133</f>
        <v>31669.86698528134</v>
      </c>
    </row>
    <row r="83" spans="1:19" s="143" customFormat="1" ht="15" customHeight="1">
      <c r="A83" s="155" t="s">
        <v>167</v>
      </c>
      <c r="B83" s="159">
        <f>'DATA Meta-conf'!F134</f>
        <v>698.0325120000001</v>
      </c>
      <c r="C83" s="160">
        <f>'DATA Meta-conf'!G134</f>
        <v>1008.032</v>
      </c>
      <c r="D83" s="160">
        <f>'DATA Meta-conf'!H134</f>
        <v>1598.0000000000002</v>
      </c>
      <c r="E83" s="160">
        <f>'DATA Meta-conf'!I134</f>
        <v>2652</v>
      </c>
      <c r="F83" s="160">
        <f>'DATA Meta-conf'!J134</f>
        <v>3800.9790000000003</v>
      </c>
      <c r="G83" s="160">
        <f>'DATA Meta-conf'!K134</f>
        <v>5189.213484</v>
      </c>
      <c r="H83" s="160">
        <f>'DATA Meta-conf'!L134</f>
        <v>6755.416529588999</v>
      </c>
      <c r="I83" s="160">
        <f>'DATA Meta-conf'!M134</f>
        <v>8782.041488465698</v>
      </c>
      <c r="J83" s="160">
        <f>'DATA Meta-conf'!N134</f>
        <v>11416.653935005408</v>
      </c>
      <c r="K83" s="160">
        <f>'DATA Meta-conf'!O134</f>
        <v>14841.650115507031</v>
      </c>
      <c r="L83" s="161">
        <f>'DATA Meta-conf'!P134</f>
        <v>19294.14515015914</v>
      </c>
      <c r="M83" s="159">
        <f>'DATA Meta-conf'!Q134</f>
        <v>25082.388695206882</v>
      </c>
      <c r="N83" s="161">
        <f>'DATA Meta-conf'!R134</f>
        <v>32607.10530376895</v>
      </c>
      <c r="O83" s="159">
        <f>'DATA Meta-conf'!S134</f>
        <v>42389.23689489964</v>
      </c>
      <c r="P83" s="160">
        <f>'DATA Meta-conf'!T134</f>
        <v>55106.00796336953</v>
      </c>
      <c r="Q83" s="160">
        <f>'DATA Meta-conf'!U134</f>
        <v>71637.81035238039</v>
      </c>
      <c r="R83" s="160">
        <f>'DATA Meta-conf'!V134</f>
        <v>93129.1534580945</v>
      </c>
      <c r="S83" s="161">
        <f>'DATA Meta-conf'!W134</f>
        <v>121067.89949552286</v>
      </c>
    </row>
    <row r="84" spans="1:19" s="143" customFormat="1" ht="15" customHeight="1">
      <c r="A84" s="155" t="s">
        <v>168</v>
      </c>
      <c r="B84" s="159">
        <f>'DATA Meta-conf'!F135</f>
        <v>2001.9674879999998</v>
      </c>
      <c r="C84" s="160">
        <f>'DATA Meta-conf'!G135</f>
        <v>2391.968</v>
      </c>
      <c r="D84" s="160">
        <f>'DATA Meta-conf'!H135</f>
        <v>3102</v>
      </c>
      <c r="E84" s="160">
        <f>'DATA Meta-conf'!I135</f>
        <v>4148</v>
      </c>
      <c r="F84" s="160">
        <f>'DATA Meta-conf'!J135</f>
        <v>5299.021</v>
      </c>
      <c r="G84" s="160">
        <f>'DATA Meta-conf'!K135</f>
        <v>6410.786516</v>
      </c>
      <c r="H84" s="160">
        <f>'DATA Meta-conf'!L135</f>
        <v>7344.583470411001</v>
      </c>
      <c r="I84" s="160">
        <f>'DATA Meta-conf'!M135</f>
        <v>8299.379321564431</v>
      </c>
      <c r="J84" s="160">
        <f>'DATA Meta-conf'!N135</f>
        <v>9378.298633367805</v>
      </c>
      <c r="K84" s="160">
        <f>'DATA Meta-conf'!O135</f>
        <v>10597.477455705619</v>
      </c>
      <c r="L84" s="161">
        <f>'DATA Meta-conf'!P135</f>
        <v>11975.149524947348</v>
      </c>
      <c r="M84" s="159">
        <f>'DATA Meta-conf'!Q135</f>
        <v>13531.918963190503</v>
      </c>
      <c r="N84" s="161">
        <f>'DATA Meta-conf'!R135</f>
        <v>15291.068428405266</v>
      </c>
      <c r="O84" s="159">
        <f>'DATA Meta-conf'!S135</f>
        <v>17278.90732409795</v>
      </c>
      <c r="P84" s="160">
        <f>'DATA Meta-conf'!T135</f>
        <v>19525.16527623068</v>
      </c>
      <c r="Q84" s="160">
        <f>'DATA Meta-conf'!U135</f>
        <v>22063.436762140667</v>
      </c>
      <c r="R84" s="160">
        <f>'DATA Meta-conf'!V135</f>
        <v>24931.68354121895</v>
      </c>
      <c r="S84" s="161">
        <f>'DATA Meta-conf'!W135</f>
        <v>28172.80240157741</v>
      </c>
    </row>
    <row r="85" spans="1:19" s="143" customFormat="1" ht="15" customHeight="1">
      <c r="A85" s="197" t="s">
        <v>169</v>
      </c>
      <c r="B85" s="201">
        <f>'DATA Meta-conf'!F136</f>
        <v>2700</v>
      </c>
      <c r="C85" s="202">
        <f>'DATA Meta-conf'!G136</f>
        <v>3400</v>
      </c>
      <c r="D85" s="202">
        <f>'DATA Meta-conf'!H136</f>
        <v>4700</v>
      </c>
      <c r="E85" s="202">
        <f>'DATA Meta-conf'!I136</f>
        <v>6800</v>
      </c>
      <c r="F85" s="202">
        <f>'DATA Meta-conf'!J136</f>
        <v>9100</v>
      </c>
      <c r="G85" s="202">
        <f>'DATA Meta-conf'!K136</f>
        <v>11600</v>
      </c>
      <c r="H85" s="202">
        <f>'DATA Meta-conf'!L136</f>
        <v>14100</v>
      </c>
      <c r="I85" s="202">
        <f>'DATA Meta-conf'!M136</f>
        <v>17081.42081003013</v>
      </c>
      <c r="J85" s="202">
        <f>'DATA Meta-conf'!N136</f>
        <v>20794.952568373214</v>
      </c>
      <c r="K85" s="202">
        <f>'DATA Meta-conf'!O136</f>
        <v>25439.12757121265</v>
      </c>
      <c r="L85" s="259">
        <f>'DATA Meta-conf'!P136</f>
        <v>31269.29467510649</v>
      </c>
      <c r="M85" s="201">
        <f>'DATA Meta-conf'!Q136</f>
        <v>38614.30765839739</v>
      </c>
      <c r="N85" s="259">
        <f>'DATA Meta-conf'!R136</f>
        <v>47898.17373217421</v>
      </c>
      <c r="O85" s="201">
        <f>'DATA Meta-conf'!S136</f>
        <v>59668.144218997586</v>
      </c>
      <c r="P85" s="202">
        <f>'DATA Meta-conf'!T136</f>
        <v>74631.1732396002</v>
      </c>
      <c r="Q85" s="202">
        <f>'DATA Meta-conf'!U136</f>
        <v>93701.24711452106</v>
      </c>
      <c r="R85" s="202">
        <f>'DATA Meta-conf'!V136</f>
        <v>118060.83699931345</v>
      </c>
      <c r="S85" s="259">
        <f>'DATA Meta-conf'!W136</f>
        <v>149240.70189710025</v>
      </c>
    </row>
    <row r="86" spans="1:14" s="143" customFormat="1" ht="15" customHeight="1">
      <c r="A86" s="236"/>
      <c r="B86" s="238"/>
      <c r="C86" s="238"/>
      <c r="D86" s="238"/>
      <c r="E86" s="238"/>
      <c r="F86" s="238"/>
      <c r="G86" s="238"/>
      <c r="H86" s="387"/>
      <c r="I86" s="238"/>
      <c r="J86" s="238"/>
      <c r="K86" s="238"/>
      <c r="L86" s="238"/>
      <c r="M86" s="238"/>
      <c r="N86" s="238"/>
    </row>
    <row r="87" spans="1:19" s="143" customFormat="1" ht="30" customHeight="1">
      <c r="A87" s="151" t="s">
        <v>331</v>
      </c>
      <c r="B87" s="153">
        <v>2013</v>
      </c>
      <c r="C87" s="152">
        <v>2014</v>
      </c>
      <c r="D87" s="152">
        <v>2015</v>
      </c>
      <c r="E87" s="152">
        <v>2016</v>
      </c>
      <c r="F87" s="152">
        <v>2017</v>
      </c>
      <c r="G87" s="152">
        <v>2018</v>
      </c>
      <c r="H87" s="386">
        <v>2019</v>
      </c>
      <c r="I87" s="152">
        <v>2020</v>
      </c>
      <c r="J87" s="152">
        <v>2021</v>
      </c>
      <c r="K87" s="152">
        <v>2022</v>
      </c>
      <c r="L87" s="152">
        <v>2023</v>
      </c>
      <c r="M87" s="153">
        <v>2024</v>
      </c>
      <c r="N87" s="154">
        <v>2025</v>
      </c>
      <c r="O87" s="152">
        <v>2026</v>
      </c>
      <c r="P87" s="152">
        <v>2027</v>
      </c>
      <c r="Q87" s="152">
        <v>2028</v>
      </c>
      <c r="R87" s="152">
        <v>2029</v>
      </c>
      <c r="S87" s="154">
        <v>2030</v>
      </c>
    </row>
    <row r="88" spans="1:19" s="143" customFormat="1" ht="15" customHeight="1">
      <c r="A88" s="272" t="s">
        <v>158</v>
      </c>
      <c r="B88" s="162">
        <f>'DATA Meta-conf'!F140*B78</f>
        <v>134.79379753086425</v>
      </c>
      <c r="C88" s="163">
        <f>'DATA Meta-conf'!G140*C78</f>
        <v>114.68800000000003</v>
      </c>
      <c r="D88" s="163">
        <f>'DATA Meta-conf'!H140*D78</f>
        <v>112.05149425287358</v>
      </c>
      <c r="E88" s="163">
        <f>'DATA Meta-conf'!I140*E78</f>
        <v>97.4848</v>
      </c>
      <c r="F88" s="163">
        <f>'DATA Meta-conf'!J140*F78</f>
        <v>87.36000000000001</v>
      </c>
      <c r="G88" s="163">
        <f>'DATA Meta-conf'!K140*G78</f>
        <v>75.348</v>
      </c>
      <c r="H88" s="163">
        <f>'DATA Meta-conf'!L140*H78</f>
        <v>64.98765</v>
      </c>
      <c r="I88" s="163">
        <f>'DATA Meta-conf'!M140*I78</f>
        <v>58.29392205</v>
      </c>
      <c r="J88" s="163">
        <f>'DATA Meta-conf'!N140*J78</f>
        <v>52.28964807884999</v>
      </c>
      <c r="K88" s="163">
        <f>'DATA Meta-conf'!O140*K78</f>
        <v>46.903814326728444</v>
      </c>
      <c r="L88" s="163">
        <f>'DATA Meta-conf'!P140*L78</f>
        <v>42.07272145107541</v>
      </c>
      <c r="M88" s="162">
        <f>'DATA Meta-conf'!Q140*M78</f>
        <v>37.739231141614646</v>
      </c>
      <c r="N88" s="164">
        <f>'DATA Meta-conf'!R140*N78</f>
        <v>33.85209033402833</v>
      </c>
      <c r="O88" s="163">
        <f>'DATA Meta-conf'!S140*O78</f>
        <v>32.68796492591318</v>
      </c>
      <c r="P88" s="163">
        <f>'DATA Meta-conf'!T140*P78</f>
        <v>31.56387214067144</v>
      </c>
      <c r="Q88" s="163">
        <f>'DATA Meta-conf'!U140*Q78</f>
        <v>30.478435313140643</v>
      </c>
      <c r="R88" s="163">
        <f>'DATA Meta-conf'!V140*R78</f>
        <v>29.430325119722074</v>
      </c>
      <c r="S88" s="164">
        <f>'DATA Meta-conf'!W140*S78</f>
        <v>28.41825795037155</v>
      </c>
    </row>
    <row r="89" spans="1:19" s="143" customFormat="1" ht="15" customHeight="1">
      <c r="A89" s="155" t="s">
        <v>161</v>
      </c>
      <c r="B89" s="159">
        <f>'DATA Meta-conf'!F141*B79</f>
        <v>98.68831604938273</v>
      </c>
      <c r="C89" s="160">
        <f>'DATA Meta-conf'!G141*C79</f>
        <v>89.20177777777779</v>
      </c>
      <c r="D89" s="160">
        <f>'DATA Meta-conf'!H141*D79</f>
        <v>89.20177777777779</v>
      </c>
      <c r="E89" s="160">
        <f>'DATA Meta-conf'!I141*E79</f>
        <v>80.28160000000001</v>
      </c>
      <c r="F89" s="160">
        <f>'DATA Meta-conf'!J141*F79</f>
        <v>78.27555555555556</v>
      </c>
      <c r="G89" s="160">
        <f>'DATA Meta-conf'!K141*G79</f>
        <v>76.90573333333334</v>
      </c>
      <c r="H89" s="160">
        <f>'DATA Meta-conf'!L141*H79</f>
        <v>75.55988300000001</v>
      </c>
      <c r="I89" s="160">
        <f>'DATA Meta-conf'!M141*I79</f>
        <v>77.20708844940002</v>
      </c>
      <c r="J89" s="160">
        <f>'DATA Meta-conf'!N141*J79</f>
        <v>78.89020297759696</v>
      </c>
      <c r="K89" s="160">
        <f>'DATA Meta-conf'!O141*K79</f>
        <v>80.61000940250858</v>
      </c>
      <c r="L89" s="160">
        <f>'DATA Meta-conf'!P141*L79</f>
        <v>82.36730760748327</v>
      </c>
      <c r="M89" s="159">
        <f>'DATA Meta-conf'!Q141*M79</f>
        <v>84.16291491332642</v>
      </c>
      <c r="N89" s="161">
        <f>'DATA Meta-conf'!R141*N79</f>
        <v>85.99766645843694</v>
      </c>
      <c r="O89" s="160">
        <f>'DATA Meta-conf'!S141*O79</f>
        <v>92.29828718618865</v>
      </c>
      <c r="P89" s="160">
        <f>'DATA Meta-conf'!T141*P79</f>
        <v>99.06052301571943</v>
      </c>
      <c r="Q89" s="160">
        <f>'DATA Meta-conf'!U141*Q79</f>
        <v>106.31819418655776</v>
      </c>
      <c r="R89" s="160">
        <f>'DATA Meta-conf'!V141*R79</f>
        <v>114.10759877874757</v>
      </c>
      <c r="S89" s="161">
        <f>'DATA Meta-conf'!W141*S79</f>
        <v>122.46769425188259</v>
      </c>
    </row>
    <row r="90" spans="1:19" s="143" customFormat="1" ht="15" customHeight="1">
      <c r="A90" s="155" t="s">
        <v>165</v>
      </c>
      <c r="B90" s="159">
        <f>'DATA Meta-conf'!F142*B81</f>
        <v>36.62109374999998</v>
      </c>
      <c r="C90" s="160">
        <f>'DATA Meta-conf'!G142*C81</f>
        <v>52.73437499999989</v>
      </c>
      <c r="D90" s="160">
        <f>'DATA Meta-conf'!H142*D81</f>
        <v>86.28531678082189</v>
      </c>
      <c r="E90" s="160">
        <f>'DATA Meta-conf'!I142*E81</f>
        <v>100.78124999999996</v>
      </c>
      <c r="F90" s="160">
        <f>'DATA Meta-conf'!J142*F81</f>
        <v>124.68749999999997</v>
      </c>
      <c r="G90" s="160">
        <f>'DATA Meta-conf'!K142*G81</f>
        <v>170.99999999999997</v>
      </c>
      <c r="H90" s="160">
        <f>'DATA Meta-conf'!L142*H81</f>
        <v>208.79999999999998</v>
      </c>
      <c r="I90" s="160">
        <f>'DATA Meta-conf'!M142*I81</f>
        <v>228.84480000000002</v>
      </c>
      <c r="J90" s="160">
        <f>'DATA Meta-conf'!N142*J81</f>
        <v>250.81390080000006</v>
      </c>
      <c r="K90" s="160">
        <f>'DATA Meta-conf'!O142*K81</f>
        <v>274.8920352768001</v>
      </c>
      <c r="L90" s="160">
        <f>'DATA Meta-conf'!P142*L81</f>
        <v>301.28167066337295</v>
      </c>
      <c r="M90" s="159">
        <f>'DATA Meta-conf'!Q142*M81</f>
        <v>330.2047110470568</v>
      </c>
      <c r="N90" s="161">
        <f>'DATA Meta-conf'!R142*N81</f>
        <v>361.90436330757433</v>
      </c>
      <c r="O90" s="160">
        <f>'DATA Meta-conf'!S142*O81</f>
        <v>402.1245576816723</v>
      </c>
      <c r="P90" s="160">
        <f>'DATA Meta-conf'!T142*P81</f>
        <v>446.8146181295191</v>
      </c>
      <c r="Q90" s="160">
        <f>'DATA Meta-conf'!U142*Q81</f>
        <v>496.4713026362061</v>
      </c>
      <c r="R90" s="160">
        <f>'DATA Meta-conf'!V142*R81</f>
        <v>551.6465763209262</v>
      </c>
      <c r="S90" s="161">
        <f>'DATA Meta-conf'!W142*S81</f>
        <v>612.9537468746473</v>
      </c>
    </row>
    <row r="91" spans="1:19" s="143" customFormat="1" ht="15" customHeight="1">
      <c r="A91" s="442" t="s">
        <v>166</v>
      </c>
      <c r="B91" s="201">
        <f>SUM(B88:B90)</f>
        <v>270.10320733024696</v>
      </c>
      <c r="C91" s="202">
        <f aca="true" t="shared" si="14" ref="C91:S91">SUM(C88:C90)</f>
        <v>256.62415277777774</v>
      </c>
      <c r="D91" s="202">
        <f t="shared" si="14"/>
        <v>287.53858881147323</v>
      </c>
      <c r="E91" s="202">
        <f t="shared" si="14"/>
        <v>278.54765</v>
      </c>
      <c r="F91" s="202">
        <f t="shared" si="14"/>
        <v>290.3230555555556</v>
      </c>
      <c r="G91" s="202">
        <f t="shared" si="14"/>
        <v>323.25373333333334</v>
      </c>
      <c r="H91" s="202">
        <f t="shared" si="14"/>
        <v>349.347533</v>
      </c>
      <c r="I91" s="202">
        <f t="shared" si="14"/>
        <v>364.34581049940005</v>
      </c>
      <c r="J91" s="202">
        <f t="shared" si="14"/>
        <v>381.99375185644703</v>
      </c>
      <c r="K91" s="202">
        <f t="shared" si="14"/>
        <v>402.4058590060371</v>
      </c>
      <c r="L91" s="202">
        <f t="shared" si="14"/>
        <v>425.7216997219316</v>
      </c>
      <c r="M91" s="201">
        <f t="shared" si="14"/>
        <v>452.10685710199783</v>
      </c>
      <c r="N91" s="259">
        <f t="shared" si="14"/>
        <v>481.7541201000396</v>
      </c>
      <c r="O91" s="202">
        <f t="shared" si="14"/>
        <v>527.1108097937741</v>
      </c>
      <c r="P91" s="202">
        <f t="shared" si="14"/>
        <v>577.4390132859099</v>
      </c>
      <c r="Q91" s="202">
        <f t="shared" si="14"/>
        <v>633.2679321359045</v>
      </c>
      <c r="R91" s="202">
        <f t="shared" si="14"/>
        <v>695.1845002193959</v>
      </c>
      <c r="S91" s="259">
        <f t="shared" si="14"/>
        <v>763.8396990769015</v>
      </c>
    </row>
    <row r="92" spans="1:19" s="143" customFormat="1" ht="15" customHeight="1">
      <c r="A92" s="155" t="s">
        <v>167</v>
      </c>
      <c r="B92" s="159">
        <f>'DATA Meta-conf'!F143*B83</f>
        <v>16.74146559388677</v>
      </c>
      <c r="C92" s="160">
        <f>'DATA Meta-conf'!G143*C83</f>
        <v>21.033492705877105</v>
      </c>
      <c r="D92" s="160">
        <f>'DATA Meta-conf'!H143*D83</f>
        <v>29.009023095767503</v>
      </c>
      <c r="E92" s="160">
        <f>'DATA Meta-conf'!I143*E83</f>
        <v>41.88409164422941</v>
      </c>
      <c r="F92" s="160">
        <f>'DATA Meta-conf'!J143*F83</f>
        <v>52.22642568370987</v>
      </c>
      <c r="G92" s="160">
        <f>'DATA Meta-conf'!K143*G83</f>
        <v>62.03197727999999</v>
      </c>
      <c r="H92" s="160">
        <f>'DATA Meta-conf'!L143*H83</f>
        <v>70.25633190772558</v>
      </c>
      <c r="I92" s="160">
        <f>'DATA Meta-conf'!M143*I83</f>
        <v>81.2865760172385</v>
      </c>
      <c r="J92" s="160">
        <f>'DATA Meta-conf'!N143*J83</f>
        <v>94.04856845194494</v>
      </c>
      <c r="K92" s="160">
        <f>'DATA Meta-conf'!O143*K83</f>
        <v>108.81419369890031</v>
      </c>
      <c r="L92" s="160">
        <f>'DATA Meta-conf'!P143*L83</f>
        <v>125.89802210962766</v>
      </c>
      <c r="M92" s="159">
        <f>'DATA Meta-conf'!Q143*M83</f>
        <v>145.6640115808392</v>
      </c>
      <c r="N92" s="161">
        <f>'DATA Meta-conf'!R143*N83</f>
        <v>168.53326139903098</v>
      </c>
      <c r="O92" s="160">
        <f>'DATA Meta-conf'!S143*O83</f>
        <v>194.99298343867886</v>
      </c>
      <c r="P92" s="160">
        <f>'DATA Meta-conf'!T143*P83</f>
        <v>225.60688183855143</v>
      </c>
      <c r="Q92" s="160">
        <f>'DATA Meta-conf'!U143*Q83</f>
        <v>261.027162287204</v>
      </c>
      <c r="R92" s="160">
        <f>'DATA Meta-conf'!V143*R83</f>
        <v>302.00842676629503</v>
      </c>
      <c r="S92" s="161">
        <f>'DATA Meta-conf'!W143*S83</f>
        <v>349.4237497686034</v>
      </c>
    </row>
    <row r="93" spans="1:19" ht="15" customHeight="1">
      <c r="A93" s="155" t="s">
        <v>171</v>
      </c>
      <c r="B93" s="159">
        <f>'DATA Meta-conf'!F144*B84</f>
        <v>205.62663399216675</v>
      </c>
      <c r="C93" s="160">
        <f>'DATA Meta-conf'!G144*C84</f>
        <v>216.2023367694861</v>
      </c>
      <c r="D93" s="160">
        <f>'DATA Meta-conf'!H144*D84</f>
        <v>246.73427521600303</v>
      </c>
      <c r="E93" s="160">
        <f>'DATA Meta-conf'!I144*E84</f>
        <v>290.3414960555973</v>
      </c>
      <c r="F93" s="160">
        <f>'DATA Meta-conf'!J144*F84</f>
        <v>326.39889165805783</v>
      </c>
      <c r="G93" s="160">
        <f>'DATA Meta-conf'!K144*G84</f>
        <v>347.4937691059091</v>
      </c>
      <c r="H93" s="160">
        <f>'DATA Meta-conf'!L144*H84</f>
        <v>350.33663153860476</v>
      </c>
      <c r="I93" s="160">
        <f>'DATA Meta-conf'!M144*I84</f>
        <v>356.29235427476107</v>
      </c>
      <c r="J93" s="160">
        <f>'DATA Meta-conf'!N144*J84</f>
        <v>362.34932429743196</v>
      </c>
      <c r="K93" s="160">
        <f>'DATA Meta-conf'!O144*K84</f>
        <v>368.5092628104883</v>
      </c>
      <c r="L93" s="160">
        <f>'DATA Meta-conf'!P144*L84</f>
        <v>374.77392027826653</v>
      </c>
      <c r="M93" s="159">
        <f>'DATA Meta-conf'!Q144*M84</f>
        <v>381.145076922997</v>
      </c>
      <c r="N93" s="161">
        <f>'DATA Meta-conf'!R144*N84</f>
        <v>387.62454323068795</v>
      </c>
      <c r="O93" s="160">
        <f>'DATA Meta-conf'!S144*O84</f>
        <v>394.21416046560955</v>
      </c>
      <c r="P93" s="160">
        <f>'DATA Meta-conf'!T144*P84</f>
        <v>400.9158011935249</v>
      </c>
      <c r="Q93" s="160">
        <f>'DATA Meta-conf'!U144*Q84</f>
        <v>407.7313698138148</v>
      </c>
      <c r="R93" s="160">
        <f>'DATA Meta-conf'!V144*R84</f>
        <v>414.6628031006496</v>
      </c>
      <c r="S93" s="161">
        <f>'DATA Meta-conf'!W144*S84</f>
        <v>421.7120707533606</v>
      </c>
    </row>
    <row r="94" spans="1:19" ht="15" customHeight="1">
      <c r="A94" s="197" t="s">
        <v>169</v>
      </c>
      <c r="B94" s="201">
        <f aca="true" t="shared" si="15" ref="B94:S94">SUM(B92:B93)</f>
        <v>222.36809958605352</v>
      </c>
      <c r="C94" s="202">
        <f t="shared" si="15"/>
        <v>237.2358294753632</v>
      </c>
      <c r="D94" s="202">
        <f t="shared" si="15"/>
        <v>275.74329831177056</v>
      </c>
      <c r="E94" s="202">
        <f t="shared" si="15"/>
        <v>332.2255876998267</v>
      </c>
      <c r="F94" s="202">
        <f t="shared" si="15"/>
        <v>378.6253173417677</v>
      </c>
      <c r="G94" s="202">
        <f t="shared" si="15"/>
        <v>409.5257463859091</v>
      </c>
      <c r="H94" s="202">
        <f t="shared" si="15"/>
        <v>420.5929634463304</v>
      </c>
      <c r="I94" s="202">
        <f t="shared" si="15"/>
        <v>437.57893029199954</v>
      </c>
      <c r="J94" s="202">
        <f t="shared" si="15"/>
        <v>456.3978927493769</v>
      </c>
      <c r="K94" s="202">
        <f t="shared" si="15"/>
        <v>477.3234565093886</v>
      </c>
      <c r="L94" s="202">
        <f t="shared" si="15"/>
        <v>500.6719423878942</v>
      </c>
      <c r="M94" s="201">
        <f t="shared" si="15"/>
        <v>526.8090885038362</v>
      </c>
      <c r="N94" s="259">
        <f t="shared" si="15"/>
        <v>556.157804629719</v>
      </c>
      <c r="O94" s="202">
        <f t="shared" si="15"/>
        <v>589.2071439042884</v>
      </c>
      <c r="P94" s="202">
        <f t="shared" si="15"/>
        <v>626.5226830320763</v>
      </c>
      <c r="Q94" s="202">
        <f t="shared" si="15"/>
        <v>668.7585321010188</v>
      </c>
      <c r="R94" s="202">
        <f t="shared" si="15"/>
        <v>716.6712298669447</v>
      </c>
      <c r="S94" s="259">
        <f t="shared" si="15"/>
        <v>771.135820521964</v>
      </c>
    </row>
    <row r="95" spans="8:24" s="143" customFormat="1" ht="15" customHeight="1">
      <c r="H95" s="388"/>
      <c r="P95" s="377"/>
      <c r="Q95" s="377"/>
      <c r="R95" s="377"/>
      <c r="S95" s="389"/>
      <c r="U95" s="389"/>
      <c r="X95" s="251"/>
    </row>
    <row r="96" spans="1:18" s="143" customFormat="1" ht="15" customHeight="1">
      <c r="A96" s="329"/>
      <c r="H96" s="388"/>
      <c r="O96" s="389"/>
      <c r="P96" s="389"/>
      <c r="Q96" s="389"/>
      <c r="R96" s="389"/>
    </row>
    <row r="97" spans="1:18" s="143" customFormat="1" ht="15" customHeight="1">
      <c r="A97" s="329"/>
      <c r="H97" s="388"/>
      <c r="O97" s="389"/>
      <c r="P97" s="389"/>
      <c r="Q97" s="389"/>
      <c r="R97" s="389"/>
    </row>
    <row r="98" spans="1:19" s="143" customFormat="1" ht="30" customHeight="1">
      <c r="A98" s="390" t="s">
        <v>364</v>
      </c>
      <c r="B98" s="391"/>
      <c r="C98" s="391"/>
      <c r="D98" s="391"/>
      <c r="E98" s="391"/>
      <c r="F98" s="391"/>
      <c r="G98" s="391"/>
      <c r="H98" s="391"/>
      <c r="I98" s="391"/>
      <c r="J98" s="391"/>
      <c r="K98" s="391"/>
      <c r="L98" s="391"/>
      <c r="M98" s="391"/>
      <c r="N98" s="391"/>
      <c r="O98" s="391"/>
      <c r="P98" s="391"/>
      <c r="Q98" s="391"/>
      <c r="R98" s="391"/>
      <c r="S98" s="392"/>
    </row>
    <row r="99" spans="1:19" s="143" customFormat="1" ht="30" customHeight="1">
      <c r="A99" s="393" t="s">
        <v>332</v>
      </c>
      <c r="B99" s="269">
        <v>2013</v>
      </c>
      <c r="C99" s="271">
        <v>2014</v>
      </c>
      <c r="D99" s="271">
        <v>2015</v>
      </c>
      <c r="E99" s="271">
        <v>2016</v>
      </c>
      <c r="F99" s="271">
        <v>2017</v>
      </c>
      <c r="G99" s="271">
        <v>2018</v>
      </c>
      <c r="H99" s="394">
        <v>2019</v>
      </c>
      <c r="I99" s="271">
        <v>2020</v>
      </c>
      <c r="J99" s="271">
        <v>2021</v>
      </c>
      <c r="K99" s="271">
        <v>2022</v>
      </c>
      <c r="L99" s="270">
        <v>2023</v>
      </c>
      <c r="M99" s="269">
        <v>2024</v>
      </c>
      <c r="N99" s="270">
        <v>2025</v>
      </c>
      <c r="O99" s="153">
        <v>2026</v>
      </c>
      <c r="P99" s="152">
        <v>2027</v>
      </c>
      <c r="Q99" s="152">
        <v>2028</v>
      </c>
      <c r="R99" s="152">
        <v>2029</v>
      </c>
      <c r="S99" s="154">
        <v>2030</v>
      </c>
    </row>
    <row r="100" spans="1:19" s="143" customFormat="1" ht="15" customHeight="1">
      <c r="A100" s="395" t="s">
        <v>333</v>
      </c>
      <c r="B100" s="159">
        <f>B74</f>
        <v>968.5805814938881</v>
      </c>
      <c r="C100" s="160">
        <f aca="true" t="shared" si="16" ref="C100:S100">C74</f>
        <v>986.0228772492006</v>
      </c>
      <c r="D100" s="160">
        <f t="shared" si="16"/>
        <v>1007.820057880764</v>
      </c>
      <c r="E100" s="160">
        <f t="shared" si="16"/>
        <v>1034.852713967025</v>
      </c>
      <c r="F100" s="160">
        <f t="shared" si="16"/>
        <v>1068.2900531365021</v>
      </c>
      <c r="G100" s="160">
        <f t="shared" si="16"/>
        <v>1109.7189560075742</v>
      </c>
      <c r="H100" s="160">
        <f t="shared" si="16"/>
        <v>1161.3536</v>
      </c>
      <c r="I100" s="160">
        <f t="shared" si="16"/>
        <v>1233.0597222499998</v>
      </c>
      <c r="J100" s="160">
        <f t="shared" si="16"/>
        <v>1305.6494592425374</v>
      </c>
      <c r="K100" s="160">
        <f t="shared" si="16"/>
        <v>1391.7748660896311</v>
      </c>
      <c r="L100" s="161">
        <f t="shared" si="16"/>
        <v>1492.9651577509464</v>
      </c>
      <c r="M100" s="159">
        <f t="shared" si="16"/>
        <v>1613.672967514071</v>
      </c>
      <c r="N100" s="161">
        <f t="shared" si="16"/>
        <v>1760.442289909261</v>
      </c>
      <c r="O100" s="159">
        <f t="shared" si="16"/>
        <v>1941.574995040126</v>
      </c>
      <c r="P100" s="160">
        <f t="shared" si="16"/>
        <v>2171.443471928738</v>
      </c>
      <c r="Q100" s="160">
        <f t="shared" si="16"/>
        <v>2470.0427415965587</v>
      </c>
      <c r="R100" s="160">
        <f t="shared" si="16"/>
        <v>2867.0702863141228</v>
      </c>
      <c r="S100" s="161">
        <f t="shared" si="16"/>
        <v>3406.9149980612456</v>
      </c>
    </row>
    <row r="101" spans="1:19" s="143" customFormat="1" ht="15" customHeight="1">
      <c r="A101" s="395" t="s">
        <v>172</v>
      </c>
      <c r="B101" s="159">
        <f>B91</f>
        <v>270.10320733024696</v>
      </c>
      <c r="C101" s="160">
        <f aca="true" t="shared" si="17" ref="C101:S101">C91</f>
        <v>256.62415277777774</v>
      </c>
      <c r="D101" s="160">
        <f t="shared" si="17"/>
        <v>287.53858881147323</v>
      </c>
      <c r="E101" s="160">
        <f t="shared" si="17"/>
        <v>278.54765</v>
      </c>
      <c r="F101" s="160">
        <f t="shared" si="17"/>
        <v>290.3230555555556</v>
      </c>
      <c r="G101" s="160">
        <f t="shared" si="17"/>
        <v>323.25373333333334</v>
      </c>
      <c r="H101" s="160">
        <f t="shared" si="17"/>
        <v>349.347533</v>
      </c>
      <c r="I101" s="160">
        <f t="shared" si="17"/>
        <v>364.34581049940005</v>
      </c>
      <c r="J101" s="160">
        <f t="shared" si="17"/>
        <v>381.99375185644703</v>
      </c>
      <c r="K101" s="160">
        <f t="shared" si="17"/>
        <v>402.4058590060371</v>
      </c>
      <c r="L101" s="161">
        <f t="shared" si="17"/>
        <v>425.7216997219316</v>
      </c>
      <c r="M101" s="159">
        <f t="shared" si="17"/>
        <v>452.10685710199783</v>
      </c>
      <c r="N101" s="161">
        <f t="shared" si="17"/>
        <v>481.7541201000396</v>
      </c>
      <c r="O101" s="159">
        <f t="shared" si="17"/>
        <v>527.1108097937741</v>
      </c>
      <c r="P101" s="160">
        <f t="shared" si="17"/>
        <v>577.4390132859099</v>
      </c>
      <c r="Q101" s="160">
        <f t="shared" si="17"/>
        <v>633.2679321359045</v>
      </c>
      <c r="R101" s="160">
        <f t="shared" si="17"/>
        <v>695.1845002193959</v>
      </c>
      <c r="S101" s="161">
        <f t="shared" si="17"/>
        <v>763.8396990769015</v>
      </c>
    </row>
    <row r="102" spans="1:19" s="143" customFormat="1" ht="15" customHeight="1">
      <c r="A102" s="395" t="s">
        <v>327</v>
      </c>
      <c r="B102" s="159">
        <f>B94</f>
        <v>222.36809958605352</v>
      </c>
      <c r="C102" s="160">
        <f aca="true" t="shared" si="18" ref="C102:S102">C94</f>
        <v>237.2358294753632</v>
      </c>
      <c r="D102" s="160">
        <f t="shared" si="18"/>
        <v>275.74329831177056</v>
      </c>
      <c r="E102" s="160">
        <f t="shared" si="18"/>
        <v>332.2255876998267</v>
      </c>
      <c r="F102" s="160">
        <f t="shared" si="18"/>
        <v>378.6253173417677</v>
      </c>
      <c r="G102" s="160">
        <f t="shared" si="18"/>
        <v>409.5257463859091</v>
      </c>
      <c r="H102" s="160">
        <f t="shared" si="18"/>
        <v>420.5929634463304</v>
      </c>
      <c r="I102" s="160">
        <f t="shared" si="18"/>
        <v>437.57893029199954</v>
      </c>
      <c r="J102" s="160">
        <f t="shared" si="18"/>
        <v>456.3978927493769</v>
      </c>
      <c r="K102" s="160">
        <f t="shared" si="18"/>
        <v>477.3234565093886</v>
      </c>
      <c r="L102" s="161">
        <f t="shared" si="18"/>
        <v>500.6719423878942</v>
      </c>
      <c r="M102" s="159">
        <f t="shared" si="18"/>
        <v>526.8090885038362</v>
      </c>
      <c r="N102" s="161">
        <f t="shared" si="18"/>
        <v>556.157804629719</v>
      </c>
      <c r="O102" s="159">
        <f t="shared" si="18"/>
        <v>589.2071439042884</v>
      </c>
      <c r="P102" s="160">
        <f t="shared" si="18"/>
        <v>626.5226830320763</v>
      </c>
      <c r="Q102" s="160">
        <f t="shared" si="18"/>
        <v>668.7585321010188</v>
      </c>
      <c r="R102" s="160">
        <f t="shared" si="18"/>
        <v>716.6712298669447</v>
      </c>
      <c r="S102" s="161">
        <f t="shared" si="18"/>
        <v>771.135820521964</v>
      </c>
    </row>
    <row r="103" spans="1:19" ht="15" customHeight="1">
      <c r="A103" s="396" t="s">
        <v>334</v>
      </c>
      <c r="B103" s="159">
        <f aca="true" t="shared" si="19" ref="B103:S103">SUM(B100:B102)</f>
        <v>1461.0518884101884</v>
      </c>
      <c r="C103" s="160">
        <f t="shared" si="19"/>
        <v>1479.8828595023417</v>
      </c>
      <c r="D103" s="160">
        <f t="shared" si="19"/>
        <v>1571.1019450040078</v>
      </c>
      <c r="E103" s="160">
        <f t="shared" si="19"/>
        <v>1645.6259516668517</v>
      </c>
      <c r="F103" s="160">
        <f t="shared" si="19"/>
        <v>1737.2384260338254</v>
      </c>
      <c r="G103" s="160">
        <f t="shared" si="19"/>
        <v>1842.4984357268165</v>
      </c>
      <c r="H103" s="160">
        <f t="shared" si="19"/>
        <v>1931.2940964463305</v>
      </c>
      <c r="I103" s="160">
        <f t="shared" si="19"/>
        <v>2034.9844630413993</v>
      </c>
      <c r="J103" s="160">
        <f t="shared" si="19"/>
        <v>2144.041103848361</v>
      </c>
      <c r="K103" s="160">
        <f t="shared" si="19"/>
        <v>2271.5041816050566</v>
      </c>
      <c r="L103" s="161">
        <f t="shared" si="19"/>
        <v>2419.3587998607723</v>
      </c>
      <c r="M103" s="159">
        <f t="shared" si="19"/>
        <v>2592.5889131199046</v>
      </c>
      <c r="N103" s="161">
        <f t="shared" si="19"/>
        <v>2798.3542146390196</v>
      </c>
      <c r="O103" s="159">
        <f t="shared" si="19"/>
        <v>3057.8929487381884</v>
      </c>
      <c r="P103" s="160">
        <f t="shared" si="19"/>
        <v>3375.405168246724</v>
      </c>
      <c r="Q103" s="160">
        <f t="shared" si="19"/>
        <v>3772.069205833482</v>
      </c>
      <c r="R103" s="160">
        <f t="shared" si="19"/>
        <v>4278.926016400464</v>
      </c>
      <c r="S103" s="161">
        <f t="shared" si="19"/>
        <v>4941.890517660111</v>
      </c>
    </row>
    <row r="104" spans="1:19" s="143" customFormat="1" ht="15" customHeight="1">
      <c r="A104" s="396" t="s">
        <v>335</v>
      </c>
      <c r="B104" s="397">
        <f>B103/'DATA Meta-conf'!F15</f>
        <v>0.013634452940133051</v>
      </c>
      <c r="C104" s="398">
        <f>C103/'DATA Meta-conf'!G15</f>
        <v>0.01366044245339128</v>
      </c>
      <c r="D104" s="398">
        <f>D103/'DATA Meta-conf'!H15</f>
        <v>0.01434995230392677</v>
      </c>
      <c r="E104" s="398">
        <f>E103/'DATA Meta-conf'!I15</f>
        <v>0.014841447675494479</v>
      </c>
      <c r="F104" s="398">
        <f>F103/'DATA Meta-conf'!J15</f>
        <v>0.015372606465765562</v>
      </c>
      <c r="G104" s="398">
        <f>G103/'DATA Meta-conf'!K15</f>
        <v>0.016094806694786735</v>
      </c>
      <c r="H104" s="398">
        <f>H103/'DATA Meta-conf'!L15</f>
        <v>0.016653963357279283</v>
      </c>
      <c r="I104" s="398">
        <f>I103/'DATA Meta-conf'!M15</f>
        <v>0.017322909807933794</v>
      </c>
      <c r="J104" s="398">
        <f>J103/'DATA Meta-conf'!N15</f>
        <v>0.018017038565256115</v>
      </c>
      <c r="K104" s="398">
        <f>K103/'DATA Meta-conf'!O15</f>
        <v>0.018843188661528423</v>
      </c>
      <c r="L104" s="399">
        <f>L103/'DATA Meta-conf'!P15</f>
        <v>0.019812153812933348</v>
      </c>
      <c r="M104" s="397">
        <f>M103/'DATA Meta-conf'!Q15</f>
        <v>0.020958279340449987</v>
      </c>
      <c r="N104" s="399">
        <f>N103/'DATA Meta-conf'!R15</f>
        <v>0.022331361713624483</v>
      </c>
      <c r="O104" s="397">
        <f>O103/'DATA Meta-conf'!S15</f>
        <v>0.0020982396155593817</v>
      </c>
      <c r="P104" s="398">
        <f>P103/'DATA Meta-conf'!T15</f>
        <v>0.00019914939950892844</v>
      </c>
      <c r="Q104" s="398">
        <f>Q103/'DATA Meta-conf'!U15</f>
        <v>1.9136082188123645E-05</v>
      </c>
      <c r="R104" s="398">
        <f>R103/'DATA Meta-conf'!V15</f>
        <v>1.8665019081369872E-06</v>
      </c>
      <c r="S104" s="399">
        <f>S103/'DATA Meta-conf'!W15</f>
        <v>1.8535617801300494E-07</v>
      </c>
    </row>
    <row r="105" spans="1:19" s="143" customFormat="1" ht="15" customHeight="1">
      <c r="A105" s="396" t="s">
        <v>336</v>
      </c>
      <c r="B105" s="397">
        <f>B103/'DATA Meta-conf'!F8</f>
        <v>0.07497187440528472</v>
      </c>
      <c r="C105" s="398">
        <f>C103/'DATA Meta-conf'!G8</f>
        <v>0.07444078770132503</v>
      </c>
      <c r="D105" s="398">
        <f>D103/'DATA Meta-conf'!H8</f>
        <v>0.0777773240100994</v>
      </c>
      <c r="E105" s="398">
        <f>E103/'DATA Meta-conf'!I8</f>
        <v>0.07900647902764664</v>
      </c>
      <c r="F105" s="398">
        <f>F103/'DATA Meta-conf'!J8</f>
        <v>0.0812857208512926</v>
      </c>
      <c r="G105" s="398">
        <f>G103/'DATA Meta-conf'!K8</f>
        <v>0.08443766601017491</v>
      </c>
      <c r="H105" s="398">
        <f>H103/'DATA Meta-conf'!L8</f>
        <v>0.08668655883555128</v>
      </c>
      <c r="I105" s="398">
        <f>I103/'DATA Meta-conf'!M8</f>
        <v>0.0894620212221926</v>
      </c>
      <c r="J105" s="398">
        <f>J103/'DATA Meta-conf'!N8</f>
        <v>0.09231769941357824</v>
      </c>
      <c r="K105" s="398">
        <f>K103/'DATA Meta-conf'!O8</f>
        <v>0.09579429921825956</v>
      </c>
      <c r="L105" s="399">
        <f>L103/'DATA Meta-conf'!P8</f>
        <v>0.09993109876070887</v>
      </c>
      <c r="M105" s="397">
        <f>M103/'DATA Meta-conf'!Q8</f>
        <v>0.10488377238877827</v>
      </c>
      <c r="N105" s="399">
        <f>N103/'DATA Meta-conf'!R8</f>
        <v>0.1108795830774825</v>
      </c>
      <c r="O105" s="397">
        <f>O103/'DATA Meta-conf'!S8</f>
        <v>0.11867122711443749</v>
      </c>
      <c r="P105" s="398">
        <f>P103/'DATA Meta-conf'!T8</f>
        <v>0.12829901573874058</v>
      </c>
      <c r="Q105" s="398">
        <f>Q103/'DATA Meta-conf'!U8</f>
        <v>0.1404272281853758</v>
      </c>
      <c r="R105" s="398">
        <f>R103/'DATA Meta-conf'!V8</f>
        <v>0.15602015569147876</v>
      </c>
      <c r="S105" s="399">
        <f>S103/'DATA Meta-conf'!W8</f>
        <v>0.17648723827825927</v>
      </c>
    </row>
    <row r="106" spans="1:19" s="143" customFormat="1" ht="15" customHeight="1">
      <c r="A106" s="400" t="s">
        <v>337</v>
      </c>
      <c r="B106" s="219">
        <f>3*B103</f>
        <v>4383.155665230565</v>
      </c>
      <c r="C106" s="220">
        <f aca="true" t="shared" si="20" ref="C106:S106">3*C103</f>
        <v>4439.648578507025</v>
      </c>
      <c r="D106" s="220">
        <f t="shared" si="20"/>
        <v>4713.305835012024</v>
      </c>
      <c r="E106" s="220">
        <f t="shared" si="20"/>
        <v>4936.877855000555</v>
      </c>
      <c r="F106" s="220">
        <f t="shared" si="20"/>
        <v>5211.715278101476</v>
      </c>
      <c r="G106" s="220">
        <f t="shared" si="20"/>
        <v>5527.495307180449</v>
      </c>
      <c r="H106" s="220">
        <f t="shared" si="20"/>
        <v>5793.8822893389915</v>
      </c>
      <c r="I106" s="220">
        <f t="shared" si="20"/>
        <v>6104.953389124198</v>
      </c>
      <c r="J106" s="220">
        <f t="shared" si="20"/>
        <v>6432.123311545083</v>
      </c>
      <c r="K106" s="220">
        <f t="shared" si="20"/>
        <v>6814.51254481517</v>
      </c>
      <c r="L106" s="222">
        <f t="shared" si="20"/>
        <v>7258.076399582316</v>
      </c>
      <c r="M106" s="219">
        <f t="shared" si="20"/>
        <v>7777.766739359714</v>
      </c>
      <c r="N106" s="222">
        <f t="shared" si="20"/>
        <v>8395.06264391706</v>
      </c>
      <c r="O106" s="219">
        <f t="shared" si="20"/>
        <v>9173.678846214565</v>
      </c>
      <c r="P106" s="220">
        <f t="shared" si="20"/>
        <v>10126.215504740172</v>
      </c>
      <c r="Q106" s="220">
        <f t="shared" si="20"/>
        <v>11316.207617500446</v>
      </c>
      <c r="R106" s="220">
        <f t="shared" si="20"/>
        <v>12836.778049201392</v>
      </c>
      <c r="S106" s="222">
        <f t="shared" si="20"/>
        <v>14825.671552980333</v>
      </c>
    </row>
    <row r="107" spans="1:19" s="143" customFormat="1" ht="15" customHeight="1">
      <c r="A107" s="393" t="s">
        <v>338</v>
      </c>
      <c r="B107" s="162">
        <f aca="true" t="shared" si="21" ref="B107:S107">B51</f>
        <v>1553.6329005772363</v>
      </c>
      <c r="C107" s="163">
        <f t="shared" si="21"/>
        <v>1627.248964787018</v>
      </c>
      <c r="D107" s="163">
        <f t="shared" si="21"/>
        <v>1717.9783341224565</v>
      </c>
      <c r="E107" s="163">
        <f t="shared" si="21"/>
        <v>1819.7281109550383</v>
      </c>
      <c r="F107" s="163">
        <f t="shared" si="21"/>
        <v>1961.3614665469618</v>
      </c>
      <c r="G107" s="163">
        <f t="shared" si="21"/>
        <v>2103.132272211158</v>
      </c>
      <c r="H107" s="163">
        <f t="shared" si="21"/>
        <v>2250.037322956653</v>
      </c>
      <c r="I107" s="163">
        <f t="shared" si="21"/>
        <v>2340.819246267849</v>
      </c>
      <c r="J107" s="163">
        <f t="shared" si="21"/>
        <v>2481.9910061575656</v>
      </c>
      <c r="K107" s="163">
        <f t="shared" si="21"/>
        <v>2639.6120494470683</v>
      </c>
      <c r="L107" s="164">
        <f t="shared" si="21"/>
        <v>2816.3120148089993</v>
      </c>
      <c r="M107" s="162">
        <f t="shared" si="21"/>
        <v>3013.883468734094</v>
      </c>
      <c r="N107" s="164">
        <f t="shared" si="21"/>
        <v>3236.7083830112856</v>
      </c>
      <c r="O107" s="162" t="e">
        <f t="shared" si="21"/>
        <v>#REF!</v>
      </c>
      <c r="P107" s="163" t="e">
        <f t="shared" si="21"/>
        <v>#REF!</v>
      </c>
      <c r="Q107" s="163" t="e">
        <f t="shared" si="21"/>
        <v>#REF!</v>
      </c>
      <c r="R107" s="163" t="e">
        <f t="shared" si="21"/>
        <v>#REF!</v>
      </c>
      <c r="S107" s="164" t="e">
        <f t="shared" si="21"/>
        <v>#REF!</v>
      </c>
    </row>
    <row r="108" spans="1:19" s="143" customFormat="1" ht="15" customHeight="1">
      <c r="A108" s="400" t="s">
        <v>339</v>
      </c>
      <c r="B108" s="401">
        <f>B107/'DATA Meta-conf'!F15</f>
        <v>0.014498413668396463</v>
      </c>
      <c r="C108" s="402">
        <f>C107/'DATA Meta-conf'!G15</f>
        <v>0.01502074349877178</v>
      </c>
      <c r="D108" s="402">
        <f>D107/'DATA Meta-conf'!H15</f>
        <v>0.01569147516635143</v>
      </c>
      <c r="E108" s="402">
        <f>E107/'DATA Meta-conf'!I15</f>
        <v>0.016411627147110718</v>
      </c>
      <c r="F108" s="402">
        <f>F107/'DATA Meta-conf'!J15</f>
        <v>0.017355843337623814</v>
      </c>
      <c r="G108" s="402">
        <f>G107/'DATA Meta-conf'!K15</f>
        <v>0.018371525705775407</v>
      </c>
      <c r="H108" s="402">
        <f>H107/'DATA Meta-conf'!L15</f>
        <v>0.019402554586575468</v>
      </c>
      <c r="I108" s="402">
        <f>I107/'DATA Meta-conf'!M15</f>
        <v>0.01992634411526147</v>
      </c>
      <c r="J108" s="402">
        <f>J107/'DATA Meta-conf'!N15</f>
        <v>0.020856935809810115</v>
      </c>
      <c r="K108" s="402">
        <f>K107/'DATA Meta-conf'!O15</f>
        <v>0.021896815442280705</v>
      </c>
      <c r="L108" s="403">
        <f>L107/'DATA Meta-conf'!P15</f>
        <v>0.023062807726501378</v>
      </c>
      <c r="M108" s="401">
        <f>M107/'DATA Meta-conf'!Q15</f>
        <v>0.024363990495230567</v>
      </c>
      <c r="N108" s="403">
        <f>N107/'DATA Meta-conf'!R15</f>
        <v>0.025829505530224516</v>
      </c>
      <c r="O108" s="401" t="e">
        <f>O107/'DATA Meta-conf'!S15</f>
        <v>#REF!</v>
      </c>
      <c r="P108" s="402" t="e">
        <f>P107/'DATA Meta-conf'!T15</f>
        <v>#REF!</v>
      </c>
      <c r="Q108" s="402" t="e">
        <f>Q107/'DATA Meta-conf'!U15</f>
        <v>#REF!</v>
      </c>
      <c r="R108" s="402" t="e">
        <f>R107/'DATA Meta-conf'!V15</f>
        <v>#REF!</v>
      </c>
      <c r="S108" s="403" t="e">
        <f>S107/'DATA Meta-conf'!W15</f>
        <v>#REF!</v>
      </c>
    </row>
    <row r="109" spans="1:19" ht="15" customHeight="1">
      <c r="A109" s="268" t="s">
        <v>340</v>
      </c>
      <c r="B109" s="404">
        <f aca="true" t="shared" si="22" ref="B109:S109">B103+B107</f>
        <v>3014.684788987425</v>
      </c>
      <c r="C109" s="405">
        <f t="shared" si="22"/>
        <v>3107.1318242893594</v>
      </c>
      <c r="D109" s="405">
        <f t="shared" si="22"/>
        <v>3289.080279126464</v>
      </c>
      <c r="E109" s="405">
        <f t="shared" si="22"/>
        <v>3465.35406262189</v>
      </c>
      <c r="F109" s="405">
        <f t="shared" si="22"/>
        <v>3698.599892580787</v>
      </c>
      <c r="G109" s="405">
        <f t="shared" si="22"/>
        <v>3945.630707937975</v>
      </c>
      <c r="H109" s="405">
        <f t="shared" si="22"/>
        <v>4181.331419402984</v>
      </c>
      <c r="I109" s="405">
        <f t="shared" si="22"/>
        <v>4375.803709309248</v>
      </c>
      <c r="J109" s="405">
        <f t="shared" si="22"/>
        <v>4626.032110005926</v>
      </c>
      <c r="K109" s="405">
        <f t="shared" si="22"/>
        <v>4911.116231052125</v>
      </c>
      <c r="L109" s="406">
        <f t="shared" si="22"/>
        <v>5235.670814669771</v>
      </c>
      <c r="M109" s="404">
        <f t="shared" si="22"/>
        <v>5606.472381853999</v>
      </c>
      <c r="N109" s="406">
        <f t="shared" si="22"/>
        <v>6035.062597650305</v>
      </c>
      <c r="O109" s="404" t="e">
        <f t="shared" si="22"/>
        <v>#REF!</v>
      </c>
      <c r="P109" s="405" t="e">
        <f t="shared" si="22"/>
        <v>#REF!</v>
      </c>
      <c r="Q109" s="405" t="e">
        <f t="shared" si="22"/>
        <v>#REF!</v>
      </c>
      <c r="R109" s="405" t="e">
        <f t="shared" si="22"/>
        <v>#REF!</v>
      </c>
      <c r="S109" s="406" t="e">
        <f t="shared" si="22"/>
        <v>#REF!</v>
      </c>
    </row>
    <row r="110" spans="1:19" s="143" customFormat="1" ht="15" customHeight="1">
      <c r="A110" s="407" t="s">
        <v>341</v>
      </c>
      <c r="B110" s="187">
        <f>B109/'DATA Meta-conf'!F15</f>
        <v>0.028132866608529514</v>
      </c>
      <c r="C110" s="189">
        <f>C109/'DATA Meta-conf'!G15</f>
        <v>0.028681185952163058</v>
      </c>
      <c r="D110" s="189">
        <f>D109/'DATA Meta-conf'!H15</f>
        <v>0.030041427470278197</v>
      </c>
      <c r="E110" s="189">
        <f>E109/'DATA Meta-conf'!I15</f>
        <v>0.0312530748226052</v>
      </c>
      <c r="F110" s="189">
        <f>F109/'DATA Meta-conf'!J15</f>
        <v>0.032728449803389376</v>
      </c>
      <c r="G110" s="189">
        <f>G109/'DATA Meta-conf'!K15</f>
        <v>0.03446633240056214</v>
      </c>
      <c r="H110" s="189">
        <f>H109/'DATA Meta-conf'!L15</f>
        <v>0.03605651794385475</v>
      </c>
      <c r="I110" s="189">
        <f>I109/'DATA Meta-conf'!M15</f>
        <v>0.03724925392319526</v>
      </c>
      <c r="J110" s="189">
        <f>J109/'DATA Meta-conf'!N15</f>
        <v>0.03887397437506623</v>
      </c>
      <c r="K110" s="189">
        <f>K109/'DATA Meta-conf'!O15</f>
        <v>0.040740004103809124</v>
      </c>
      <c r="L110" s="188">
        <f>L109/'DATA Meta-conf'!P15</f>
        <v>0.04287496153943472</v>
      </c>
      <c r="M110" s="187">
        <f>M109/'DATA Meta-conf'!Q15</f>
        <v>0.04532226983568055</v>
      </c>
      <c r="N110" s="188">
        <f>N109/'DATA Meta-conf'!R15</f>
        <v>0.048160867243849</v>
      </c>
      <c r="O110" s="187" t="e">
        <f>O109/'DATA Meta-conf'!S15</f>
        <v>#REF!</v>
      </c>
      <c r="P110" s="189" t="e">
        <f>P109/'DATA Meta-conf'!T15</f>
        <v>#REF!</v>
      </c>
      <c r="Q110" s="189" t="e">
        <f>Q109/'DATA Meta-conf'!U15</f>
        <v>#REF!</v>
      </c>
      <c r="R110" s="189" t="e">
        <f>R109/'DATA Meta-conf'!V15</f>
        <v>#REF!</v>
      </c>
      <c r="S110" s="188" t="e">
        <f>S109/'DATA Meta-conf'!W15</f>
        <v>#REF!</v>
      </c>
    </row>
    <row r="111" spans="1:19" s="143" customFormat="1" ht="15" customHeight="1">
      <c r="A111" s="407" t="s">
        <v>342</v>
      </c>
      <c r="B111" s="408">
        <f>B106+B107</f>
        <v>5936.788565807801</v>
      </c>
      <c r="C111" s="409">
        <f aca="true" t="shared" si="23" ref="C111:S111">C106+C107</f>
        <v>6066.897543294043</v>
      </c>
      <c r="D111" s="409">
        <f t="shared" si="23"/>
        <v>6431.28416913448</v>
      </c>
      <c r="E111" s="409">
        <f t="shared" si="23"/>
        <v>6756.605965955594</v>
      </c>
      <c r="F111" s="409">
        <f t="shared" si="23"/>
        <v>7173.076744648437</v>
      </c>
      <c r="G111" s="409">
        <f t="shared" si="23"/>
        <v>7630.6275793916075</v>
      </c>
      <c r="H111" s="409">
        <f t="shared" si="23"/>
        <v>8043.919612295645</v>
      </c>
      <c r="I111" s="409">
        <f t="shared" si="23"/>
        <v>8445.772635392048</v>
      </c>
      <c r="J111" s="409">
        <f t="shared" si="23"/>
        <v>8914.11431770265</v>
      </c>
      <c r="K111" s="409">
        <f t="shared" si="23"/>
        <v>9454.124594262239</v>
      </c>
      <c r="L111" s="410">
        <f t="shared" si="23"/>
        <v>10074.388414391316</v>
      </c>
      <c r="M111" s="408">
        <f t="shared" si="23"/>
        <v>10791.650208093808</v>
      </c>
      <c r="N111" s="410">
        <f t="shared" si="23"/>
        <v>11631.771026928345</v>
      </c>
      <c r="O111" s="408" t="e">
        <f t="shared" si="23"/>
        <v>#REF!</v>
      </c>
      <c r="P111" s="409" t="e">
        <f t="shared" si="23"/>
        <v>#REF!</v>
      </c>
      <c r="Q111" s="409" t="e">
        <f t="shared" si="23"/>
        <v>#REF!</v>
      </c>
      <c r="R111" s="409" t="e">
        <f t="shared" si="23"/>
        <v>#REF!</v>
      </c>
      <c r="S111" s="410" t="e">
        <f t="shared" si="23"/>
        <v>#REF!</v>
      </c>
    </row>
    <row r="112" spans="1:19" s="143" customFormat="1" ht="15" customHeight="1">
      <c r="A112" s="378" t="s">
        <v>343</v>
      </c>
      <c r="B112" s="195">
        <f>B111/'DATA Meta-conf'!F13</f>
        <v>0.03992341990362325</v>
      </c>
      <c r="C112" s="411">
        <f>C111/'DATA Meta-conf'!G13</f>
        <v>0.04046987643681844</v>
      </c>
      <c r="D112" s="411">
        <f>D111/'DATA Meta-conf'!H13</f>
        <v>0.04259054630834562</v>
      </c>
      <c r="E112" s="411">
        <f>E111/'DATA Meta-conf'!I13</f>
        <v>0.04414144394211708</v>
      </c>
      <c r="F112" s="411">
        <f>F111/'DATA Meta-conf'!J13</f>
        <v>0.04604111525943965</v>
      </c>
      <c r="G112" s="411">
        <f>G111/'DATA Meta-conf'!K13</f>
        <v>0.0476343775023388</v>
      </c>
      <c r="H112" s="411">
        <f>H111/'DATA Meta-conf'!L13</f>
        <v>0.0495547411087466</v>
      </c>
      <c r="I112" s="411">
        <f>I111/'DATA Meta-conf'!M13</f>
        <v>0.0513626509051915</v>
      </c>
      <c r="J112" s="411">
        <f>J111/'DATA Meta-conf'!N13</f>
        <v>0.05421085335763094</v>
      </c>
      <c r="K112" s="411">
        <f>K111/'DATA Meta-conf'!O13</f>
        <v>0.057494905689790196</v>
      </c>
      <c r="L112" s="412">
        <f>L111/'DATA Meta-conf'!P13</f>
        <v>0.0612670169503879</v>
      </c>
      <c r="M112" s="195">
        <f>M111/'DATA Meta-conf'!Q13</f>
        <v>0.06562901776523253</v>
      </c>
      <c r="N112" s="412">
        <f>N111/'DATA Meta-conf'!R13</f>
        <v>0.07073818115369011</v>
      </c>
      <c r="O112" s="195" t="e">
        <f>O111/'DATA Meta-conf'!S13</f>
        <v>#REF!</v>
      </c>
      <c r="P112" s="411" t="e">
        <f>P111/'DATA Meta-conf'!T13</f>
        <v>#REF!</v>
      </c>
      <c r="Q112" s="411" t="e">
        <f>Q111/'DATA Meta-conf'!U13</f>
        <v>#REF!</v>
      </c>
      <c r="R112" s="411" t="e">
        <f>R111/'DATA Meta-conf'!V13</f>
        <v>#REF!</v>
      </c>
      <c r="S112" s="412" t="e">
        <f>S111/'DATA Meta-conf'!W13</f>
        <v>#REF!</v>
      </c>
    </row>
    <row r="113" spans="1:19" s="143" customFormat="1" ht="15" customHeight="1">
      <c r="A113" s="413" t="s">
        <v>344</v>
      </c>
      <c r="B113" s="201">
        <f>'DATA Meta-conf'!F19*B103</f>
        <v>905.8521708143169</v>
      </c>
      <c r="C113" s="202">
        <f>'DATA Meta-conf'!G19*C103</f>
        <v>902.7285442964285</v>
      </c>
      <c r="D113" s="202">
        <f>'DATA Meta-conf'!H19*D103</f>
        <v>958.3721864524448</v>
      </c>
      <c r="E113" s="202">
        <f>'DATA Meta-conf'!I19*E103</f>
        <v>1003.8318305167795</v>
      </c>
      <c r="F113" s="202">
        <f>'DATA Meta-conf'!J19*F103</f>
        <v>1042.3430556202952</v>
      </c>
      <c r="G113" s="202">
        <f>'DATA Meta-conf'!K19*G103</f>
        <v>1105.49906143609</v>
      </c>
      <c r="H113" s="202">
        <f>'DATA Meta-conf'!L19*H103</f>
        <v>1158.7764578677982</v>
      </c>
      <c r="I113" s="202">
        <f>'DATA Meta-conf'!M19*I103</f>
        <v>1200.6408331944256</v>
      </c>
      <c r="J113" s="202">
        <f>'DATA Meta-conf'!N19*J103</f>
        <v>1264.9842512705332</v>
      </c>
      <c r="K113" s="202">
        <f>'DATA Meta-conf'!O19*K103</f>
        <v>1317.4724253309328</v>
      </c>
      <c r="L113" s="259">
        <f>'DATA Meta-conf'!P19*L103</f>
        <v>1379.0345159206402</v>
      </c>
      <c r="M113" s="201">
        <f>'DATA Meta-conf'!Q19*M103</f>
        <v>1425.9239022159477</v>
      </c>
      <c r="N113" s="259">
        <f>'DATA Meta-conf'!R19*N103</f>
        <v>1483.1277337586805</v>
      </c>
      <c r="O113" s="201">
        <f>'DATA Meta-conf'!S19*O103</f>
        <v>1555.8559323179904</v>
      </c>
      <c r="P113" s="202">
        <f>'DATA Meta-conf'!T19*P103</f>
        <v>1648.7099036197758</v>
      </c>
      <c r="Q113" s="202">
        <f>'DATA Meta-conf'!U19*Q103</f>
        <v>1768.7612730729143</v>
      </c>
      <c r="R113" s="202">
        <f>'DATA Meta-conf'!V19*R103</f>
        <v>1926.1742790378455</v>
      </c>
      <c r="S113" s="259">
        <f>'DATA Meta-conf'!W19*S103</f>
        <v>2135.625779393044</v>
      </c>
    </row>
    <row r="114" spans="1:19" s="143" customFormat="1" ht="15" customHeight="1">
      <c r="A114" s="413" t="s">
        <v>345</v>
      </c>
      <c r="B114" s="201">
        <f>B25</f>
        <v>475.9553071458097</v>
      </c>
      <c r="C114" s="202">
        <f aca="true" t="shared" si="24" ref="C114:S114">C25</f>
        <v>497.8238809335922</v>
      </c>
      <c r="D114" s="202">
        <f t="shared" si="24"/>
        <v>524.7230288628889</v>
      </c>
      <c r="E114" s="202">
        <f t="shared" si="24"/>
        <v>554.7182315197635</v>
      </c>
      <c r="F114" s="202">
        <f t="shared" si="24"/>
        <v>596.1994743269064</v>
      </c>
      <c r="G114" s="202">
        <f t="shared" si="24"/>
        <v>638.013674571089</v>
      </c>
      <c r="H114" s="202">
        <f t="shared" si="24"/>
        <v>681.3533499042373</v>
      </c>
      <c r="I114" s="202">
        <f t="shared" si="24"/>
        <v>702.9999575523373</v>
      </c>
      <c r="J114" s="202">
        <f t="shared" si="24"/>
        <v>738.663921999327</v>
      </c>
      <c r="K114" s="202">
        <f t="shared" si="24"/>
        <v>778.3983884571014</v>
      </c>
      <c r="L114" s="259">
        <f t="shared" si="24"/>
        <v>822.8375649849067</v>
      </c>
      <c r="M114" s="201">
        <f t="shared" si="24"/>
        <v>872.3636463256438</v>
      </c>
      <c r="N114" s="259">
        <f t="shared" si="24"/>
        <v>928.0537626830865</v>
      </c>
      <c r="O114" s="201" t="e">
        <f t="shared" si="24"/>
        <v>#REF!</v>
      </c>
      <c r="P114" s="202" t="e">
        <f t="shared" si="24"/>
        <v>#REF!</v>
      </c>
      <c r="Q114" s="202" t="e">
        <f t="shared" si="24"/>
        <v>#REF!</v>
      </c>
      <c r="R114" s="202" t="e">
        <f t="shared" si="24"/>
        <v>#REF!</v>
      </c>
      <c r="S114" s="259" t="e">
        <f t="shared" si="24"/>
        <v>#REF!</v>
      </c>
    </row>
    <row r="115" spans="1:19" ht="15" customHeight="1">
      <c r="A115" s="268" t="s">
        <v>346</v>
      </c>
      <c r="B115" s="404">
        <f>SUM(B113:B114)</f>
        <v>1381.8074779601266</v>
      </c>
      <c r="C115" s="405">
        <f aca="true" t="shared" si="25" ref="C115:S115">SUM(C113:C114)</f>
        <v>1400.5524252300206</v>
      </c>
      <c r="D115" s="405">
        <f t="shared" si="25"/>
        <v>1483.0952153153337</v>
      </c>
      <c r="E115" s="405">
        <f t="shared" si="25"/>
        <v>1558.550062036543</v>
      </c>
      <c r="F115" s="405">
        <f t="shared" si="25"/>
        <v>1638.5425299472017</v>
      </c>
      <c r="G115" s="405">
        <f t="shared" si="25"/>
        <v>1743.512736007179</v>
      </c>
      <c r="H115" s="405">
        <f t="shared" si="25"/>
        <v>1840.1298077720355</v>
      </c>
      <c r="I115" s="405">
        <f t="shared" si="25"/>
        <v>1903.6407907467628</v>
      </c>
      <c r="J115" s="405">
        <f t="shared" si="25"/>
        <v>2003.6481732698603</v>
      </c>
      <c r="K115" s="405">
        <f t="shared" si="25"/>
        <v>2095.870813788034</v>
      </c>
      <c r="L115" s="406">
        <f t="shared" si="25"/>
        <v>2201.8720809055467</v>
      </c>
      <c r="M115" s="404">
        <f t="shared" si="25"/>
        <v>2298.2875485415916</v>
      </c>
      <c r="N115" s="406">
        <f t="shared" si="25"/>
        <v>2411.181496441767</v>
      </c>
      <c r="O115" s="404" t="e">
        <f t="shared" si="25"/>
        <v>#REF!</v>
      </c>
      <c r="P115" s="405" t="e">
        <f t="shared" si="25"/>
        <v>#REF!</v>
      </c>
      <c r="Q115" s="405" t="e">
        <f t="shared" si="25"/>
        <v>#REF!</v>
      </c>
      <c r="R115" s="405" t="e">
        <f t="shared" si="25"/>
        <v>#REF!</v>
      </c>
      <c r="S115" s="406" t="e">
        <f t="shared" si="25"/>
        <v>#REF!</v>
      </c>
    </row>
    <row r="116" spans="1:19" s="143" customFormat="1" ht="15" customHeight="1">
      <c r="A116" s="378" t="s">
        <v>347</v>
      </c>
      <c r="B116" s="195">
        <f>B115/'DATA Meta-conf'!F16</f>
        <v>0.028736039517778644</v>
      </c>
      <c r="C116" s="411">
        <f>C115/'DATA Meta-conf'!G16</f>
        <v>0.028837484208514046</v>
      </c>
      <c r="D116" s="411">
        <f>D115/'DATA Meta-conf'!H16</f>
        <v>0.030234699728654134</v>
      </c>
      <c r="E116" s="411">
        <f>E115/'DATA Meta-conf'!I16</f>
        <v>0.031303387732486865</v>
      </c>
      <c r="F116" s="411">
        <f>F115/'DATA Meta-conf'!J16</f>
        <v>0.03226473707618042</v>
      </c>
      <c r="G116" s="411">
        <f>G115/'DATA Meta-conf'!K16</f>
        <v>0.03365854702716562</v>
      </c>
      <c r="H116" s="411">
        <f>H115/'DATA Meta-conf'!L16</f>
        <v>0.03492993260843718</v>
      </c>
      <c r="I116" s="411">
        <f>I115/'DATA Meta-conf'!M16</f>
        <v>0.03732629001464241</v>
      </c>
      <c r="J116" s="411">
        <f>J115/'DATA Meta-conf'!N16</f>
        <v>0.03928721908372275</v>
      </c>
      <c r="K116" s="411">
        <f>K115/'DATA Meta-conf'!O16</f>
        <v>0.04191741627576068</v>
      </c>
      <c r="L116" s="412">
        <f>L115/'DATA Meta-conf'!P16</f>
        <v>0.045872335018865555</v>
      </c>
      <c r="M116" s="195">
        <f>M115/'DATA Meta-conf'!Q16</f>
        <v>0.04996277279438242</v>
      </c>
      <c r="N116" s="412">
        <f>N115/'DATA Meta-conf'!R16</f>
        <v>0.05479957946458562</v>
      </c>
      <c r="O116" s="195" t="e">
        <f>O115/'DATA Meta-conf'!S16</f>
        <v>#REF!</v>
      </c>
      <c r="P116" s="411" t="e">
        <f>P115/'DATA Meta-conf'!T16</f>
        <v>#REF!</v>
      </c>
      <c r="Q116" s="411" t="e">
        <f>Q115/'DATA Meta-conf'!U16</f>
        <v>#REF!</v>
      </c>
      <c r="R116" s="411" t="e">
        <f>R115/'DATA Meta-conf'!V16</f>
        <v>#REF!</v>
      </c>
      <c r="S116" s="412" t="e">
        <f>S115/'DATA Meta-conf'!W16</f>
        <v>#REF!</v>
      </c>
    </row>
    <row r="117" ht="15">
      <c r="A117" s="414"/>
    </row>
    <row r="118" spans="1:19" ht="15">
      <c r="A118" s="142" t="s">
        <v>348</v>
      </c>
      <c r="B118" s="142">
        <f>B114/(B114+B113)</f>
        <v>0.34444400883430726</v>
      </c>
      <c r="C118" s="142">
        <f aca="true" t="shared" si="26" ref="C118:S118">C114/(C114+C113)</f>
        <v>0.3554482302594505</v>
      </c>
      <c r="D118" s="142">
        <f t="shared" si="26"/>
        <v>0.35380265774191916</v>
      </c>
      <c r="E118" s="142">
        <f t="shared" si="26"/>
        <v>0.3559194183309828</v>
      </c>
      <c r="F118" s="142">
        <f t="shared" si="26"/>
        <v>0.3638596273397417</v>
      </c>
      <c r="G118" s="142">
        <f t="shared" si="26"/>
        <v>0.3659357694353326</v>
      </c>
      <c r="H118" s="142">
        <f t="shared" si="26"/>
        <v>0.37027461162057695</v>
      </c>
      <c r="I118" s="142">
        <f t="shared" si="26"/>
        <v>0.3692923375930411</v>
      </c>
      <c r="J118" s="142">
        <f t="shared" si="26"/>
        <v>0.36865949414355614</v>
      </c>
      <c r="K118" s="142">
        <f t="shared" si="26"/>
        <v>0.37139616780589646</v>
      </c>
      <c r="L118" s="142">
        <f t="shared" si="26"/>
        <v>0.3736990773081172</v>
      </c>
      <c r="M118" s="142">
        <f t="shared" si="26"/>
        <v>0.3795711493451781</v>
      </c>
      <c r="N118" s="142">
        <f t="shared" si="26"/>
        <v>0.3848958546059828</v>
      </c>
      <c r="O118" s="142" t="e">
        <f t="shared" si="26"/>
        <v>#REF!</v>
      </c>
      <c r="P118" s="142" t="e">
        <f t="shared" si="26"/>
        <v>#REF!</v>
      </c>
      <c r="Q118" s="142" t="e">
        <f t="shared" si="26"/>
        <v>#REF!</v>
      </c>
      <c r="R118" s="142" t="e">
        <f t="shared" si="26"/>
        <v>#REF!</v>
      </c>
      <c r="S118" s="142" t="e">
        <f t="shared" si="26"/>
        <v>#REF!</v>
      </c>
    </row>
    <row r="119" ht="15">
      <c r="H119" s="142"/>
    </row>
    <row r="120" spans="1:19" ht="15">
      <c r="A120" s="142" t="s">
        <v>349</v>
      </c>
      <c r="B120" s="142">
        <f>B107/B111</f>
        <v>0.26169584504410226</v>
      </c>
      <c r="C120" s="142">
        <f aca="true" t="shared" si="27" ref="C120:S120">C107/C111</f>
        <v>0.2682176438904385</v>
      </c>
      <c r="D120" s="142">
        <f t="shared" si="27"/>
        <v>0.26712835087703196</v>
      </c>
      <c r="E120" s="142">
        <f t="shared" si="27"/>
        <v>0.26932577097496496</v>
      </c>
      <c r="F120" s="142">
        <f t="shared" si="27"/>
        <v>0.2734337769368298</v>
      </c>
      <c r="G120" s="142">
        <f t="shared" si="27"/>
        <v>0.2756172084575567</v>
      </c>
      <c r="H120" s="142">
        <f t="shared" si="27"/>
        <v>0.2797190214975952</v>
      </c>
      <c r="I120" s="142">
        <f t="shared" si="27"/>
        <v>0.27715868604592026</v>
      </c>
      <c r="J120" s="142">
        <f t="shared" si="27"/>
        <v>0.278433831752477</v>
      </c>
      <c r="K120" s="142">
        <f t="shared" si="27"/>
        <v>0.27920216442345847</v>
      </c>
      <c r="L120" s="142">
        <f t="shared" si="27"/>
        <v>0.2795516610006701</v>
      </c>
      <c r="M120" s="142">
        <f t="shared" si="27"/>
        <v>0.2792792029594938</v>
      </c>
      <c r="N120" s="142">
        <f t="shared" si="27"/>
        <v>0.27826445134778566</v>
      </c>
      <c r="O120" s="142" t="e">
        <f t="shared" si="27"/>
        <v>#REF!</v>
      </c>
      <c r="P120" s="142" t="e">
        <f t="shared" si="27"/>
        <v>#REF!</v>
      </c>
      <c r="Q120" s="142" t="e">
        <f t="shared" si="27"/>
        <v>#REF!</v>
      </c>
      <c r="R120" s="142" t="e">
        <f t="shared" si="27"/>
        <v>#REF!</v>
      </c>
      <c r="S120" s="142" t="e">
        <f t="shared" si="27"/>
        <v>#REF!</v>
      </c>
    </row>
  </sheetData>
  <mergeCells count="1">
    <mergeCell ref="A98:S98"/>
  </mergeCells>
  <conditionalFormatting sqref="B32:S50">
    <cfRule type="expression" priority="10" dxfId="0">
      <formula>MOD(ROW(),2)</formula>
    </cfRule>
  </conditionalFormatting>
  <conditionalFormatting sqref="B57:S73">
    <cfRule type="expression" priority="9" dxfId="0">
      <formula>MOD(ROW(),2)</formula>
    </cfRule>
  </conditionalFormatting>
  <conditionalFormatting sqref="B78:S85">
    <cfRule type="expression" priority="8" dxfId="0">
      <formula>MOD(ROW(),2)</formula>
    </cfRule>
  </conditionalFormatting>
  <conditionalFormatting sqref="B88:S94">
    <cfRule type="expression" priority="7" dxfId="0">
      <formula>MOD(ROW(),2)</formula>
    </cfRule>
  </conditionalFormatting>
  <conditionalFormatting sqref="B100:S108">
    <cfRule type="expression" priority="3" dxfId="0">
      <formula>MOD(ROW(),2)</formula>
    </cfRule>
  </conditionalFormatting>
  <conditionalFormatting sqref="B113:S114">
    <cfRule type="expression" priority="2" dxfId="0">
      <formula>MOD(ROW(),2)</formula>
    </cfRule>
  </conditionalFormatting>
  <conditionalFormatting sqref="B6:S24">
    <cfRule type="expression" priority="1" dxfId="0">
      <formula>MOD(ROW(),2)</formula>
    </cfRule>
  </conditionalFormatting>
  <printOptions/>
  <pageMargins left="0.7" right="0.7" top="0.75" bottom="0.75" header="0.3" footer="0.3"/>
  <pageSetup horizontalDpi="600" verticalDpi="600" orientation="portrait" paperSize="9" copies="1"/>
  <extLst>
    <ext xmlns:x14="http://schemas.microsoft.com/office/spreadsheetml/2009/9/main" uri="{78C0D931-6437-407d-A8EE-F0AAD7539E65}">
      <x14:conditionalFormattings>
        <x14:conditionalFormatting xmlns:xm="http://schemas.microsoft.com/office/excel/2006/main">
          <x14:cfRule type="expression" priority="10">
            <xm:f>MOD(ROW(),2)</xm:f>
            <x14:dxf>
              <fill>
                <patternFill patternType="solid">
                  <fgColor theme="5" tint="0.5999600291252136"/>
                  <bgColor theme="5" tint="0.5999600291252136"/>
                </patternFill>
              </fill>
            </x14:dxf>
          </x14:cfRule>
          <xm:sqref>B32:S50</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B57:S73</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B78:S85</xm:sqref>
        </x14:conditionalFormatting>
        <x14:conditionalFormatting xmlns:xm="http://schemas.microsoft.com/office/excel/2006/main">
          <x14:cfRule type="expression" priority="7">
            <xm:f>MOD(ROW(),2)</xm:f>
            <x14:dxf>
              <fill>
                <patternFill patternType="solid">
                  <fgColor theme="5" tint="0.5999600291252136"/>
                  <bgColor theme="5" tint="0.5999600291252136"/>
                </patternFill>
              </fill>
            </x14:dxf>
          </x14:cfRule>
          <xm:sqref>B88:S94</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B100:S108</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B113:S114</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B6:S24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dimension ref="A2:AC123"/>
  <sheetViews>
    <sheetView tabSelected="1" view="pageBreakPreview" zoomScale="50" zoomScaleSheetLayoutView="50" workbookViewId="0" topLeftCell="Q11">
      <selection activeCell="AA17" sqref="AA17"/>
    </sheetView>
  </sheetViews>
  <sheetFormatPr defaultColWidth="11.421875" defaultRowHeight="15"/>
  <cols>
    <col min="2" max="2" width="59.28125" style="0" customWidth="1"/>
    <col min="22" max="22" width="12.8515625" style="0" customWidth="1"/>
    <col min="23" max="23" width="21.8515625" style="0" bestFit="1" customWidth="1"/>
    <col min="24" max="24" width="11.57421875" style="0" bestFit="1" customWidth="1"/>
  </cols>
  <sheetData>
    <row r="2" spans="3:20" ht="18">
      <c r="C2" s="450" t="s">
        <v>367</v>
      </c>
      <c r="D2" s="451"/>
      <c r="E2" s="451"/>
      <c r="F2" s="451"/>
      <c r="G2" s="451"/>
      <c r="H2" s="451"/>
      <c r="I2" s="451"/>
      <c r="J2" s="451"/>
      <c r="K2" s="451"/>
      <c r="L2" s="451"/>
      <c r="M2" s="451"/>
      <c r="N2" s="451"/>
      <c r="O2" s="451"/>
      <c r="P2" s="451"/>
      <c r="Q2" s="451"/>
      <c r="R2" s="451"/>
      <c r="S2" s="451"/>
      <c r="T2" s="452"/>
    </row>
    <row r="3" spans="2:20" ht="15">
      <c r="B3" s="453"/>
      <c r="C3" s="454">
        <f>Growth!B99</f>
        <v>2013</v>
      </c>
      <c r="D3" s="455">
        <f>Growth!C99</f>
        <v>2014</v>
      </c>
      <c r="E3" s="455">
        <f>Growth!D99</f>
        <v>2015</v>
      </c>
      <c r="F3" s="455">
        <f>Growth!E99</f>
        <v>2016</v>
      </c>
      <c r="G3" s="455">
        <f>Growth!F99</f>
        <v>2017</v>
      </c>
      <c r="H3" s="455">
        <f>Growth!G99</f>
        <v>2018</v>
      </c>
      <c r="I3" s="455">
        <f>Growth!H99</f>
        <v>2019</v>
      </c>
      <c r="J3" s="455">
        <f>Growth!I99</f>
        <v>2020</v>
      </c>
      <c r="K3" s="455">
        <f>Growth!J99</f>
        <v>2021</v>
      </c>
      <c r="L3" s="455">
        <f>Growth!K99</f>
        <v>2022</v>
      </c>
      <c r="M3" s="455">
        <f>Growth!L99</f>
        <v>2023</v>
      </c>
      <c r="N3" s="455">
        <f>Growth!M99</f>
        <v>2024</v>
      </c>
      <c r="O3" s="455">
        <f>Growth!N99</f>
        <v>2025</v>
      </c>
      <c r="P3" s="455">
        <f>Growth!O99</f>
        <v>2026</v>
      </c>
      <c r="Q3" s="455">
        <f>Growth!P99</f>
        <v>2027</v>
      </c>
      <c r="R3" s="455">
        <f>Growth!Q99</f>
        <v>2028</v>
      </c>
      <c r="S3" s="455">
        <f>Growth!R99</f>
        <v>2029</v>
      </c>
      <c r="T3" s="456">
        <f>Growth!S99</f>
        <v>2030</v>
      </c>
    </row>
    <row r="4" spans="2:23" ht="15">
      <c r="B4" s="457" t="s">
        <v>368</v>
      </c>
      <c r="C4" s="458">
        <f>'2 Growth'!B115</f>
        <v>1381.8074779601266</v>
      </c>
      <c r="D4" s="459">
        <f>'2 Growth'!C115</f>
        <v>1400.5524252300206</v>
      </c>
      <c r="E4" s="459">
        <f>'2 Growth'!D115</f>
        <v>1483.0952153153337</v>
      </c>
      <c r="F4" s="459">
        <f>'2 Growth'!E115</f>
        <v>1558.550062036543</v>
      </c>
      <c r="G4" s="459">
        <f>'2 Growth'!F115</f>
        <v>1638.5425299472017</v>
      </c>
      <c r="H4" s="459">
        <f>'2 Growth'!G115</f>
        <v>1743.512736007179</v>
      </c>
      <c r="I4" s="459">
        <f>'2 Growth'!H115</f>
        <v>1840.1298077720355</v>
      </c>
      <c r="J4" s="459">
        <f>'2 Growth'!I115</f>
        <v>1936.476133503228</v>
      </c>
      <c r="K4" s="459">
        <f>'2 Growth'!J115</f>
        <v>2078.7370562281394</v>
      </c>
      <c r="L4" s="459">
        <f>'2 Growth'!K115</f>
        <v>2224.0651440177503</v>
      </c>
      <c r="M4" s="459">
        <f>'2 Growth'!L115</f>
        <v>2398.8997513060554</v>
      </c>
      <c r="N4" s="459">
        <f>'2 Growth'!M115</f>
        <v>2582.4351718246667</v>
      </c>
      <c r="O4" s="459">
        <f>'2 Growth'!N115</f>
        <v>2811.7202425946275</v>
      </c>
      <c r="P4" s="460"/>
      <c r="Q4" s="460"/>
      <c r="R4" s="460"/>
      <c r="S4" s="460"/>
      <c r="T4" s="461"/>
      <c r="W4" s="56"/>
    </row>
    <row r="5" spans="2:20" ht="15">
      <c r="B5" s="462" t="s">
        <v>2</v>
      </c>
      <c r="C5" s="463">
        <f>Growth!B115</f>
        <v>1381.8074779601266</v>
      </c>
      <c r="D5" s="463">
        <f>Growth!C115</f>
        <v>1400.5524252300206</v>
      </c>
      <c r="E5" s="463">
        <f>Growth!D115</f>
        <v>1483.0952153153337</v>
      </c>
      <c r="F5" s="463">
        <f>Growth!E115</f>
        <v>1558.550062036543</v>
      </c>
      <c r="G5" s="463">
        <f>Growth!F115</f>
        <v>1638.5425299472017</v>
      </c>
      <c r="H5" s="463">
        <f>Growth!G115</f>
        <v>1743.512736007179</v>
      </c>
      <c r="I5" s="463">
        <f>Growth!H115</f>
        <v>1840.1298077720355</v>
      </c>
      <c r="J5" s="463">
        <f>Growth!I115</f>
        <v>1931.1726135032281</v>
      </c>
      <c r="K5" s="463">
        <f>Growth!J115</f>
        <v>2066.220749028139</v>
      </c>
      <c r="L5" s="463">
        <f>Growth!K115</f>
        <v>2202.2580720177502</v>
      </c>
      <c r="M5" s="463">
        <f>Growth!L115</f>
        <v>2365.132449602375</v>
      </c>
      <c r="N5" s="463">
        <f>Growth!M115</f>
        <v>2520.309252919424</v>
      </c>
      <c r="O5" s="463">
        <f>Growth!N115</f>
        <v>2703.3068912595686</v>
      </c>
      <c r="P5" s="463">
        <f>Growth!O115</f>
        <v>2894.9366780119944</v>
      </c>
      <c r="Q5" s="463">
        <f>Growth!P115</f>
        <v>3121.551127446948</v>
      </c>
      <c r="R5" s="463">
        <f>Growth!Q115</f>
        <v>3392.5084626353573</v>
      </c>
      <c r="S5" s="463">
        <f>Growth!R115</f>
        <v>3721.269706965715</v>
      </c>
      <c r="T5" s="464">
        <f>Growth!S115</f>
        <v>4127.832203159748</v>
      </c>
    </row>
    <row r="6" spans="2:20" ht="15">
      <c r="B6" s="465" t="s">
        <v>1</v>
      </c>
      <c r="C6" s="466">
        <f>Conservative!B115</f>
        <v>1381.8074779601266</v>
      </c>
      <c r="D6" s="466">
        <f>Conservative!C115</f>
        <v>1400.5524252300206</v>
      </c>
      <c r="E6" s="466">
        <f>Conservative!D115</f>
        <v>1483.0952153153337</v>
      </c>
      <c r="F6" s="466">
        <f>Conservative!E115</f>
        <v>1558.550062036543</v>
      </c>
      <c r="G6" s="466">
        <f>Conservative!F115</f>
        <v>1638.5425299472017</v>
      </c>
      <c r="H6" s="466">
        <f>Conservative!G115</f>
        <v>1743.512736007179</v>
      </c>
      <c r="I6" s="466">
        <f>Conservative!H115</f>
        <v>1840.1298077720355</v>
      </c>
      <c r="J6" s="466">
        <f>Conservative!I115</f>
        <v>1903.6407907467628</v>
      </c>
      <c r="K6" s="466">
        <f>Conservative!J115</f>
        <v>2003.6481732698603</v>
      </c>
      <c r="L6" s="466">
        <f>Conservative!K115</f>
        <v>2095.870813788034</v>
      </c>
      <c r="M6" s="466">
        <f>Conservative!L115</f>
        <v>2201.8720809055467</v>
      </c>
      <c r="N6" s="466">
        <f>Conservative!M115</f>
        <v>2296.0150305184106</v>
      </c>
      <c r="O6" s="466">
        <f>Conservative!N115</f>
        <v>2404.878107201495</v>
      </c>
      <c r="P6" s="466">
        <f>Conservative!O115</f>
        <v>2498.0116949505095</v>
      </c>
      <c r="Q6" s="466">
        <f>Conservative!P115</f>
        <v>2606.2951875525205</v>
      </c>
      <c r="R6" s="466">
        <f>Conservative!Q115</f>
        <v>2731.8960985896692</v>
      </c>
      <c r="S6" s="466">
        <f>Conservative!R115</f>
        <v>2877.446358388886</v>
      </c>
      <c r="T6" s="467">
        <f>Conservative!S115</f>
        <v>3046.148313255242</v>
      </c>
    </row>
    <row r="7" spans="2:21" ht="15" hidden="1">
      <c r="B7" s="465" t="s">
        <v>369</v>
      </c>
      <c r="C7" s="466">
        <f>'Meta-conf'!B115</f>
        <v>1381.8074779601266</v>
      </c>
      <c r="D7" s="466">
        <f>'Meta-conf'!C115</f>
        <v>1400.5524252300206</v>
      </c>
      <c r="E7" s="466">
        <f>'Meta-conf'!D115</f>
        <v>1483.0952153153337</v>
      </c>
      <c r="F7" s="466">
        <f>'Meta-conf'!E115</f>
        <v>1558.550062036543</v>
      </c>
      <c r="G7" s="466">
        <f>'Meta-conf'!F115</f>
        <v>1638.5425299472017</v>
      </c>
      <c r="H7" s="466">
        <f>'Meta-conf'!G115</f>
        <v>1743.512736007179</v>
      </c>
      <c r="I7" s="466">
        <f>'Meta-conf'!H115</f>
        <v>1840.1298077720355</v>
      </c>
      <c r="J7" s="466">
        <f>'Meta-conf'!I115</f>
        <v>1903.6407907467628</v>
      </c>
      <c r="K7" s="466">
        <f>'Meta-conf'!J115</f>
        <v>2003.6481732698603</v>
      </c>
      <c r="L7" s="466">
        <f>'Meta-conf'!K115</f>
        <v>2095.870813788034</v>
      </c>
      <c r="M7" s="466">
        <f>'Meta-conf'!L115</f>
        <v>2201.8720809055467</v>
      </c>
      <c r="N7" s="466">
        <f>'Meta-conf'!M115</f>
        <v>2298.2875485415916</v>
      </c>
      <c r="O7" s="466">
        <f>'Meta-conf'!N115</f>
        <v>2411.181496441767</v>
      </c>
      <c r="P7" s="466" t="e">
        <f>'Meta-conf'!O115</f>
        <v>#REF!</v>
      </c>
      <c r="Q7" s="466" t="e">
        <f>'Meta-conf'!P115</f>
        <v>#REF!</v>
      </c>
      <c r="R7" s="466" t="e">
        <f>'Meta-conf'!Q115</f>
        <v>#REF!</v>
      </c>
      <c r="S7" s="466" t="e">
        <f>'Meta-conf'!R115</f>
        <v>#REF!</v>
      </c>
      <c r="T7" s="467" t="e">
        <f>'Meta-conf'!S115</f>
        <v>#REF!</v>
      </c>
      <c r="U7" s="468"/>
    </row>
    <row r="8" spans="2:20" ht="15">
      <c r="B8" s="469" t="s">
        <v>363</v>
      </c>
      <c r="C8" s="470">
        <f>MetaMetaverse!B115</f>
        <v>1381.8074779601266</v>
      </c>
      <c r="D8" s="470">
        <f>MetaMetaverse!C115</f>
        <v>1400.5524252300206</v>
      </c>
      <c r="E8" s="470">
        <f>MetaMetaverse!D115</f>
        <v>1483.0952153153337</v>
      </c>
      <c r="F8" s="470">
        <f>MetaMetaverse!E115</f>
        <v>1558.550062036543</v>
      </c>
      <c r="G8" s="470">
        <f>MetaMetaverse!F115</f>
        <v>1638.5425299472017</v>
      </c>
      <c r="H8" s="470">
        <f>MetaMetaverse!G115</f>
        <v>1743.512736007179</v>
      </c>
      <c r="I8" s="470">
        <f>MetaMetaverse!H115</f>
        <v>1840.1298077720355</v>
      </c>
      <c r="J8" s="470">
        <f>MetaMetaverse!I115</f>
        <v>1908.9443107467628</v>
      </c>
      <c r="K8" s="470">
        <f>MetaMetaverse!J115</f>
        <v>2015.4856299098599</v>
      </c>
      <c r="L8" s="470">
        <f>MetaMetaverse!K115</f>
        <v>2115.3767427480343</v>
      </c>
      <c r="M8" s="470">
        <f>MetaMetaverse!L115</f>
        <v>2230.4386205071387</v>
      </c>
      <c r="N8" s="470">
        <f>MetaMetaverse!M115</f>
        <v>2363.056025030657</v>
      </c>
      <c r="O8" s="470">
        <f>MetaMetaverse!N115</f>
        <v>2515.810187008369</v>
      </c>
      <c r="P8" s="470">
        <f>MetaMetaverse!O115</f>
        <v>2699.9981943752905</v>
      </c>
      <c r="Q8" s="470">
        <f>MetaMetaverse!P115</f>
        <v>2918.167205449385</v>
      </c>
      <c r="R8" s="470">
        <f>MetaMetaverse!Q115</f>
        <v>3181.7568712645116</v>
      </c>
      <c r="S8" s="470">
        <f>MetaMetaverse!R115</f>
        <v>3508.4153107045904</v>
      </c>
      <c r="T8" s="471">
        <f>MetaMetaverse!S115</f>
        <v>3925.9731039772305</v>
      </c>
    </row>
    <row r="9" spans="2:20" ht="15">
      <c r="B9" s="75"/>
      <c r="C9" s="472"/>
      <c r="D9" s="472"/>
      <c r="E9" s="472"/>
      <c r="F9" s="472"/>
      <c r="G9" s="472"/>
      <c r="H9" s="472"/>
      <c r="I9" s="472"/>
      <c r="J9" s="472"/>
      <c r="K9" s="472"/>
      <c r="L9" s="472"/>
      <c r="M9" s="472"/>
      <c r="N9" s="472"/>
      <c r="O9" s="472"/>
      <c r="P9" s="472"/>
      <c r="Q9" s="472"/>
      <c r="R9" s="472"/>
      <c r="S9" s="472"/>
      <c r="T9" s="472"/>
    </row>
    <row r="10" spans="2:20" ht="15">
      <c r="B10" s="75"/>
      <c r="C10" s="450" t="s">
        <v>370</v>
      </c>
      <c r="D10" s="451"/>
      <c r="E10" s="451"/>
      <c r="F10" s="451"/>
      <c r="G10" s="451"/>
      <c r="H10" s="451"/>
      <c r="I10" s="451"/>
      <c r="J10" s="451"/>
      <c r="K10" s="451"/>
      <c r="L10" s="451"/>
      <c r="M10" s="451"/>
      <c r="N10" s="451"/>
      <c r="O10" s="451"/>
      <c r="P10" s="451"/>
      <c r="Q10" s="451"/>
      <c r="R10" s="451"/>
      <c r="S10" s="451"/>
      <c r="T10" s="452"/>
    </row>
    <row r="11" spans="2:20" ht="15">
      <c r="B11" s="462" t="s">
        <v>371</v>
      </c>
      <c r="C11" s="463">
        <f>MetaMetaverse!B91</f>
        <v>270.10320733024696</v>
      </c>
      <c r="D11" s="463">
        <f>MetaMetaverse!C91</f>
        <v>256.62415277777774</v>
      </c>
      <c r="E11" s="463">
        <f>MetaMetaverse!D91</f>
        <v>287.53858881147323</v>
      </c>
      <c r="F11" s="463">
        <f>MetaMetaverse!E91</f>
        <v>278.54765</v>
      </c>
      <c r="G11" s="463">
        <f>MetaMetaverse!F91</f>
        <v>290.3230555555556</v>
      </c>
      <c r="H11" s="463">
        <f>MetaMetaverse!G91</f>
        <v>323.25373333333334</v>
      </c>
      <c r="I11" s="463">
        <f>MetaMetaverse!H91</f>
        <v>349.347533</v>
      </c>
      <c r="J11" s="463">
        <f>MetaMetaverse!I91</f>
        <v>372.6978104994</v>
      </c>
      <c r="K11" s="463">
        <f>MetaMetaverse!J91</f>
        <v>400.6354158564469</v>
      </c>
      <c r="L11" s="463">
        <f>MetaMetaverse!K91</f>
        <v>433.615345342037</v>
      </c>
      <c r="M11" s="463">
        <f>MetaMetaverse!L91</f>
        <v>472.1713576106995</v>
      </c>
      <c r="N11" s="463">
        <f>MetaMetaverse!M91</f>
        <v>510.5245411537313</v>
      </c>
      <c r="O11" s="463">
        <f>MetaMetaverse!N91</f>
        <v>552.3446944791215</v>
      </c>
      <c r="P11" s="463">
        <f>MetaMetaverse!O91</f>
        <v>637.3476333484501</v>
      </c>
      <c r="Q11" s="463">
        <f>MetaMetaverse!P91</f>
        <v>735.702226611822</v>
      </c>
      <c r="R11" s="463">
        <f>MetaMetaverse!Q91</f>
        <v>849.5329796329131</v>
      </c>
      <c r="S11" s="463">
        <f>MetaMetaverse!R91</f>
        <v>981.3052880086367</v>
      </c>
      <c r="T11" s="464">
        <f>MetaMetaverse!S91</f>
        <v>1133.880443628642</v>
      </c>
    </row>
    <row r="12" spans="2:20" ht="15">
      <c r="B12" s="465" t="s">
        <v>372</v>
      </c>
      <c r="C12" s="466">
        <f>Conservative!B91</f>
        <v>270.10320733024696</v>
      </c>
      <c r="D12" s="466">
        <f>Conservative!C91</f>
        <v>256.62415277777774</v>
      </c>
      <c r="E12" s="466">
        <f>Conservative!D91</f>
        <v>287.53858881147323</v>
      </c>
      <c r="F12" s="466">
        <f>Conservative!E91</f>
        <v>278.54765</v>
      </c>
      <c r="G12" s="466">
        <f>Conservative!F91</f>
        <v>290.3230555555556</v>
      </c>
      <c r="H12" s="466">
        <f>Conservative!G91</f>
        <v>323.25373333333334</v>
      </c>
      <c r="I12" s="466">
        <f>Conservative!H91</f>
        <v>349.347533</v>
      </c>
      <c r="J12" s="466">
        <f>Conservative!I91</f>
        <v>364.34581049940005</v>
      </c>
      <c r="K12" s="466">
        <f>Conservative!J91</f>
        <v>381.99375185644703</v>
      </c>
      <c r="L12" s="466">
        <f>Conservative!K91</f>
        <v>402.4058590060371</v>
      </c>
      <c r="M12" s="466">
        <f>Conservative!L91</f>
        <v>425.7216997219316</v>
      </c>
      <c r="N12" s="466">
        <f>Conservative!M91</f>
        <v>452.10685710199783</v>
      </c>
      <c r="O12" s="466">
        <f>Conservative!N91</f>
        <v>481.7541201000396</v>
      </c>
      <c r="P12" s="466">
        <f>Conservative!O91</f>
        <v>490.9949707502536</v>
      </c>
      <c r="Q12" s="466">
        <f>Conservative!P91</f>
        <v>501.4481235527762</v>
      </c>
      <c r="R12" s="466">
        <f>Conservative!Q91</f>
        <v>513.1160423237634</v>
      </c>
      <c r="S12" s="466">
        <f>Conservative!R91</f>
        <v>526.0050324283632</v>
      </c>
      <c r="T12" s="467">
        <f>Conservative!S91</f>
        <v>540.1251372850437</v>
      </c>
    </row>
    <row r="13" spans="2:20" ht="15">
      <c r="B13" s="473" t="s">
        <v>373</v>
      </c>
      <c r="C13" s="474">
        <f>Growth!B91</f>
        <v>270.10320733024696</v>
      </c>
      <c r="D13" s="474">
        <f>Growth!C91</f>
        <v>256.62415277777774</v>
      </c>
      <c r="E13" s="474">
        <f>Growth!D91</f>
        <v>287.53858881147323</v>
      </c>
      <c r="F13" s="474">
        <f>Growth!E91</f>
        <v>278.54765</v>
      </c>
      <c r="G13" s="474">
        <f>Growth!F91</f>
        <v>290.3230555555556</v>
      </c>
      <c r="H13" s="474">
        <f>Growth!G91</f>
        <v>323.25373333333334</v>
      </c>
      <c r="I13" s="474">
        <f>Growth!H91</f>
        <v>349.347533</v>
      </c>
      <c r="J13" s="474">
        <f>Growth!I91</f>
        <v>381.587189859</v>
      </c>
      <c r="K13" s="474">
        <f>Growth!J91</f>
        <v>419.796146577771</v>
      </c>
      <c r="L13" s="474">
        <f>Growth!K91</f>
        <v>464.8081200219999</v>
      </c>
      <c r="M13" s="474">
        <f>Growth!L91</f>
        <v>517.5968714834105</v>
      </c>
      <c r="N13" s="474">
        <f>Growth!M91</f>
        <v>579.2979248647312</v>
      </c>
      <c r="O13" s="474">
        <f>Growth!N91</f>
        <v>651.2338061534829</v>
      </c>
      <c r="P13" s="474">
        <f>Growth!O91</f>
        <v>727.6176083800569</v>
      </c>
      <c r="Q13" s="474">
        <f>Growth!P91</f>
        <v>813.9523342078297</v>
      </c>
      <c r="R13" s="474">
        <f>Growth!Q91</f>
        <v>911.5064741950752</v>
      </c>
      <c r="S13" s="474">
        <f>Growth!R91</f>
        <v>1021.7118822599165</v>
      </c>
      <c r="T13" s="475">
        <f>Growth!S91</f>
        <v>1146.1848451194332</v>
      </c>
    </row>
    <row r="14" spans="2:20" ht="15">
      <c r="B14" s="462" t="s">
        <v>374</v>
      </c>
      <c r="C14" s="463">
        <f>MetaMetaverse!B94</f>
        <v>222.36809958605352</v>
      </c>
      <c r="D14" s="463">
        <f>MetaMetaverse!C94</f>
        <v>237.2358294753632</v>
      </c>
      <c r="E14" s="463">
        <f>MetaMetaverse!D94</f>
        <v>275.74329831177056</v>
      </c>
      <c r="F14" s="463">
        <f>MetaMetaverse!E94</f>
        <v>332.2255876998267</v>
      </c>
      <c r="G14" s="463">
        <f>MetaMetaverse!F94</f>
        <v>378.6253173417677</v>
      </c>
      <c r="H14" s="463">
        <f>MetaMetaverse!G94</f>
        <v>409.5257463859091</v>
      </c>
      <c r="I14" s="463">
        <f>MetaMetaverse!H94</f>
        <v>420.5929634463304</v>
      </c>
      <c r="J14" s="463">
        <f>MetaMetaverse!I94</f>
        <v>437.57893029199954</v>
      </c>
      <c r="K14" s="463">
        <f>MetaMetaverse!J94</f>
        <v>456.3978927493769</v>
      </c>
      <c r="L14" s="463">
        <f>MetaMetaverse!K94</f>
        <v>477.3234565093886</v>
      </c>
      <c r="M14" s="463">
        <f>MetaMetaverse!L94</f>
        <v>500.6719423878942</v>
      </c>
      <c r="N14" s="463">
        <f>MetaMetaverse!M94</f>
        <v>567.284671893889</v>
      </c>
      <c r="O14" s="463">
        <f>MetaMetaverse!N94</f>
        <v>642.8565042512121</v>
      </c>
      <c r="P14" s="463">
        <f>MetaMetaverse!O94</f>
        <v>728.6066316473825</v>
      </c>
      <c r="Q14" s="463">
        <f>MetaMetaverse!P94</f>
        <v>825.922236073343</v>
      </c>
      <c r="R14" s="463">
        <f>MetaMetaverse!Q94</f>
        <v>936.3819358013448</v>
      </c>
      <c r="S14" s="463">
        <f>MetaMetaverse!R94</f>
        <v>1061.7825469697032</v>
      </c>
      <c r="T14" s="464">
        <f>MetaMetaverse!S94</f>
        <v>1204.1696349974377</v>
      </c>
    </row>
    <row r="15" spans="2:20" ht="15">
      <c r="B15" s="465" t="s">
        <v>375</v>
      </c>
      <c r="C15" s="466">
        <f>Conservative!B94</f>
        <v>222.36809958605352</v>
      </c>
      <c r="D15" s="466">
        <f>Conservative!C94</f>
        <v>237.2358294753632</v>
      </c>
      <c r="E15" s="466">
        <f>Conservative!D94</f>
        <v>275.74329831177056</v>
      </c>
      <c r="F15" s="466">
        <f>Conservative!E94</f>
        <v>332.2255876998267</v>
      </c>
      <c r="G15" s="466">
        <f>Conservative!F94</f>
        <v>378.6253173417677</v>
      </c>
      <c r="H15" s="466">
        <f>Conservative!G94</f>
        <v>409.5257463859091</v>
      </c>
      <c r="I15" s="466">
        <f>Conservative!H94</f>
        <v>420.5929634463304</v>
      </c>
      <c r="J15" s="466">
        <f>Conservative!I94</f>
        <v>437.57893029199954</v>
      </c>
      <c r="K15" s="466">
        <f>Conservative!J94</f>
        <v>456.3978927493769</v>
      </c>
      <c r="L15" s="466">
        <f>Conservative!K94</f>
        <v>477.3234565093886</v>
      </c>
      <c r="M15" s="466">
        <f>Conservative!L94</f>
        <v>500.6719423878942</v>
      </c>
      <c r="N15" s="466">
        <f>Conservative!M94</f>
        <v>526.8090885038362</v>
      </c>
      <c r="O15" s="466">
        <f>Conservative!N94</f>
        <v>556.157804629719</v>
      </c>
      <c r="P15" s="466">
        <f>Conservative!O94</f>
        <v>589.2071439042884</v>
      </c>
      <c r="Q15" s="466">
        <f>Conservative!P94</f>
        <v>626.5226830320763</v>
      </c>
      <c r="R15" s="466">
        <f>Conservative!Q94</f>
        <v>668.7585321010188</v>
      </c>
      <c r="S15" s="466">
        <f>Conservative!R94</f>
        <v>716.6712298669447</v>
      </c>
      <c r="T15" s="467">
        <f>Conservative!S94</f>
        <v>771.135820521964</v>
      </c>
    </row>
    <row r="16" spans="2:20" ht="15">
      <c r="B16" s="469" t="s">
        <v>376</v>
      </c>
      <c r="C16" s="470">
        <f>Growth!B94</f>
        <v>222.36809958605352</v>
      </c>
      <c r="D16" s="470">
        <f>Growth!C94</f>
        <v>237.2358294753632</v>
      </c>
      <c r="E16" s="470">
        <f>Growth!D94</f>
        <v>275.74329831177056</v>
      </c>
      <c r="F16" s="470">
        <f>Growth!E94</f>
        <v>332.2255876998267</v>
      </c>
      <c r="G16" s="470">
        <f>Growth!F94</f>
        <v>378.6253173417677</v>
      </c>
      <c r="H16" s="470">
        <f>Growth!G94</f>
        <v>409.5257463859091</v>
      </c>
      <c r="I16" s="470">
        <f>Growth!H94</f>
        <v>420.5929634463304</v>
      </c>
      <c r="J16" s="470">
        <f>Growth!I94</f>
        <v>449.53914475945686</v>
      </c>
      <c r="K16" s="470">
        <f>Growth!J94</f>
        <v>481.76971956183957</v>
      </c>
      <c r="L16" s="470">
        <f>Growth!K94</f>
        <v>517.8164738341166</v>
      </c>
      <c r="M16" s="470">
        <f>Growth!L94</f>
        <v>558.3091808557592</v>
      </c>
      <c r="N16" s="470">
        <f>Growth!M94</f>
        <v>603.994278432863</v>
      </c>
      <c r="O16" s="470">
        <f>Growth!N94</f>
        <v>655.7571347744652</v>
      </c>
      <c r="P16" s="470">
        <f>Growth!O94</f>
        <v>714.6485938133392</v>
      </c>
      <c r="Q16" s="470">
        <f>Growth!P94</f>
        <v>781.916623797878</v>
      </c>
      <c r="R16" s="470">
        <f>Growth!Q94</f>
        <v>859.044051633347</v>
      </c>
      <c r="S16" s="470">
        <f>Growth!R94</f>
        <v>947.7935546579752</v>
      </c>
      <c r="T16" s="471">
        <f>Growth!S94</f>
        <v>1050.2613071870687</v>
      </c>
    </row>
    <row r="17" spans="2:20" ht="15">
      <c r="B17" s="462" t="s">
        <v>377</v>
      </c>
      <c r="C17" s="463">
        <f>MetaMetaverse!B100</f>
        <v>968.5805814938881</v>
      </c>
      <c r="D17" s="463">
        <f>MetaMetaverse!C100</f>
        <v>986.0228772492006</v>
      </c>
      <c r="E17" s="463">
        <f>MetaMetaverse!D100</f>
        <v>1007.820057880764</v>
      </c>
      <c r="F17" s="463">
        <f>MetaMetaverse!E100</f>
        <v>1034.852713967025</v>
      </c>
      <c r="G17" s="463">
        <f>MetaMetaverse!F100</f>
        <v>1068.2900531365021</v>
      </c>
      <c r="H17" s="463">
        <f>MetaMetaverse!G100</f>
        <v>1109.7189560075742</v>
      </c>
      <c r="I17" s="463">
        <f>MetaMetaverse!H100</f>
        <v>1161.3536</v>
      </c>
      <c r="J17" s="463">
        <f>MetaMetaverse!I100</f>
        <v>1233.0597222499998</v>
      </c>
      <c r="K17" s="463">
        <f>MetaMetaverse!J100</f>
        <v>1305.6494592425374</v>
      </c>
      <c r="L17" s="463">
        <f>MetaMetaverse!K100</f>
        <v>1391.7748660896311</v>
      </c>
      <c r="M17" s="463">
        <f>MetaMetaverse!L100</f>
        <v>1492.9651577509464</v>
      </c>
      <c r="N17" s="463">
        <f>MetaMetaverse!M100</f>
        <v>1618.7651179814873</v>
      </c>
      <c r="O17" s="463">
        <f>MetaMetaverse!N100</f>
        <v>1769.2472430359724</v>
      </c>
      <c r="P17" s="463">
        <f>MetaMetaverse!O100</f>
        <v>1934.2122222068408</v>
      </c>
      <c r="Q17" s="463">
        <f>MetaMetaverse!P100</f>
        <v>2128.9012023021796</v>
      </c>
      <c r="R17" s="463">
        <f>MetaMetaverse!Q100</f>
        <v>2360.0214654259335</v>
      </c>
      <c r="S17" s="463">
        <f>MetaMetaverse!R100</f>
        <v>2636.0193563203466</v>
      </c>
      <c r="T17" s="463">
        <f>MetaMetaverse!S100</f>
        <v>2967.5790275074964</v>
      </c>
    </row>
    <row r="18" spans="2:20" ht="15">
      <c r="B18" s="465" t="s">
        <v>378</v>
      </c>
      <c r="C18" s="466">
        <f>Conservative!B100</f>
        <v>968.5805814938881</v>
      </c>
      <c r="D18" s="466">
        <f>Conservative!C100</f>
        <v>986.0228772492006</v>
      </c>
      <c r="E18" s="466">
        <f>Conservative!D100</f>
        <v>1007.820057880764</v>
      </c>
      <c r="F18" s="466">
        <f>Conservative!E100</f>
        <v>1034.852713967025</v>
      </c>
      <c r="G18" s="466">
        <f>Conservative!F100</f>
        <v>1068.2900531365021</v>
      </c>
      <c r="H18" s="466">
        <f>Conservative!G100</f>
        <v>1109.7189560075742</v>
      </c>
      <c r="I18" s="466">
        <f>Conservative!H100</f>
        <v>1161.3536</v>
      </c>
      <c r="J18" s="466">
        <f>Conservative!I100</f>
        <v>1233.0597222499998</v>
      </c>
      <c r="K18" s="466">
        <f>Conservative!J100</f>
        <v>1305.6494592425374</v>
      </c>
      <c r="L18" s="466">
        <f>Conservative!K100</f>
        <v>1391.7748660896311</v>
      </c>
      <c r="M18" s="466">
        <f>Conservative!L100</f>
        <v>1492.9651577509464</v>
      </c>
      <c r="N18" s="466">
        <f>Conservative!M100</f>
        <v>1608.674883941877</v>
      </c>
      <c r="O18" s="466">
        <f>Conservative!N100</f>
        <v>1745.6197090426901</v>
      </c>
      <c r="P18" s="466">
        <f>Conservative!O100</f>
        <v>1887.4251282107905</v>
      </c>
      <c r="Q18" s="466">
        <f>Conservative!P100</f>
        <v>2050.1073561362987</v>
      </c>
      <c r="R18" s="466">
        <f>Conservative!Q100</f>
        <v>2237.3288406248817</v>
      </c>
      <c r="S18" s="466">
        <f>Conservative!R100</f>
        <v>2453.4476227317655</v>
      </c>
      <c r="T18" s="466">
        <f>Conservative!S100</f>
        <v>2703.65415800365</v>
      </c>
    </row>
    <row r="19" spans="2:20" ht="15">
      <c r="B19" s="469" t="s">
        <v>379</v>
      </c>
      <c r="C19" s="470">
        <f>Growth!B100</f>
        <v>968.5805814938881</v>
      </c>
      <c r="D19" s="470">
        <f>Growth!C100</f>
        <v>986.0228772492006</v>
      </c>
      <c r="E19" s="470">
        <f>Growth!D100</f>
        <v>1007.820057880764</v>
      </c>
      <c r="F19" s="470">
        <f>Growth!E100</f>
        <v>1034.852713967025</v>
      </c>
      <c r="G19" s="470">
        <f>Growth!F100</f>
        <v>1068.2900531365021</v>
      </c>
      <c r="H19" s="470">
        <f>Growth!G100</f>
        <v>1109.7189560075742</v>
      </c>
      <c r="I19" s="470">
        <f>Growth!H100</f>
        <v>1161.3536</v>
      </c>
      <c r="J19" s="470">
        <f>Growth!I100</f>
        <v>1246.3554702499998</v>
      </c>
      <c r="K19" s="470">
        <f>Growth!J100</f>
        <v>1338.7700701625372</v>
      </c>
      <c r="L19" s="470">
        <f>Growth!K100</f>
        <v>1454.6966360717952</v>
      </c>
      <c r="M19" s="470">
        <f>Growth!L100</f>
        <v>1601.3604045146408</v>
      </c>
      <c r="N19" s="470">
        <f>Growth!M100</f>
        <v>1767.6062881904513</v>
      </c>
      <c r="O19" s="470">
        <f>Growth!N100</f>
        <v>1972.2218132175963</v>
      </c>
      <c r="P19" s="470">
        <f>Growth!O100</f>
        <v>2192.2080826075908</v>
      </c>
      <c r="Q19" s="470">
        <f>Growth!P100</f>
        <v>2454.871110126458</v>
      </c>
      <c r="R19" s="470">
        <f>Growth!Q100</f>
        <v>2769.577926888459</v>
      </c>
      <c r="S19" s="470">
        <f>Growth!R100</f>
        <v>3147.872623129869</v>
      </c>
      <c r="T19" s="470">
        <f>Growth!S100</f>
        <v>3604.011081094608</v>
      </c>
    </row>
    <row r="20" spans="2:20" ht="15">
      <c r="B20" s="75"/>
      <c r="C20" s="472"/>
      <c r="D20" s="472"/>
      <c r="E20" s="472"/>
      <c r="F20" s="472"/>
      <c r="G20" s="472"/>
      <c r="H20" s="472"/>
      <c r="I20" s="472"/>
      <c r="J20" s="472"/>
      <c r="K20" s="472"/>
      <c r="L20" s="472"/>
      <c r="M20" s="472"/>
      <c r="N20" s="472"/>
      <c r="O20" s="472"/>
      <c r="P20" s="472"/>
      <c r="Q20" s="472"/>
      <c r="R20" s="472"/>
      <c r="S20" s="472"/>
      <c r="T20" s="472"/>
    </row>
    <row r="21" spans="2:20" ht="15">
      <c r="B21" s="75"/>
      <c r="C21" s="450" t="s">
        <v>380</v>
      </c>
      <c r="D21" s="451"/>
      <c r="E21" s="451"/>
      <c r="F21" s="451"/>
      <c r="G21" s="451"/>
      <c r="H21" s="451"/>
      <c r="I21" s="451"/>
      <c r="J21" s="451"/>
      <c r="K21" s="451"/>
      <c r="L21" s="451"/>
      <c r="M21" s="451"/>
      <c r="N21" s="451"/>
      <c r="O21" s="451"/>
      <c r="P21" s="451"/>
      <c r="Q21" s="451"/>
      <c r="R21" s="451"/>
      <c r="S21" s="451"/>
      <c r="T21" s="452"/>
    </row>
    <row r="22" spans="2:20" ht="15">
      <c r="B22" s="462" t="s">
        <v>381</v>
      </c>
      <c r="C22" s="463">
        <f>MetaMetaverse!B25-MetaMetaverse!B23-MetaMetaverse!B24</f>
        <v>454.5474642863011</v>
      </c>
      <c r="D22" s="463">
        <f>MetaMetaverse!C25-MetaMetaverse!C23-MetaMetaverse!C24</f>
        <v>476.5466889039653</v>
      </c>
      <c r="E22" s="463">
        <f>MetaMetaverse!D25-MetaMetaverse!D23-MetaMetaverse!D24</f>
        <v>500.68074998165247</v>
      </c>
      <c r="F22" s="463">
        <f>MetaMetaverse!E25-MetaMetaverse!E23-MetaMetaverse!E24</f>
        <v>529.1182199472617</v>
      </c>
      <c r="G22" s="463">
        <f>MetaMetaverse!F25-MetaMetaverse!F23-MetaMetaverse!F24</f>
        <v>568.4469867022938</v>
      </c>
      <c r="H22" s="463">
        <f>MetaMetaverse!G25-MetaMetaverse!G23-MetaMetaverse!G24</f>
        <v>607.8300369613231</v>
      </c>
      <c r="I22" s="463">
        <f>MetaMetaverse!H25-MetaMetaverse!H23-MetaMetaverse!H24</f>
        <v>649.8675625000001</v>
      </c>
      <c r="J22" s="463">
        <f>MetaMetaverse!I25-MetaMetaverse!I23-MetaMetaverse!I24</f>
        <v>670.5712401375</v>
      </c>
      <c r="K22" s="463">
        <f>MetaMetaverse!J25-MetaMetaverse!J23-MetaMetaverse!J24</f>
        <v>705.1684835724025</v>
      </c>
      <c r="L22" s="463">
        <f>MetaMetaverse!K25-MetaMetaverse!K23-MetaMetaverse!K24</f>
        <v>743.7072079753577</v>
      </c>
      <c r="M22" s="463">
        <f>MetaMetaverse!L25-MetaMetaverse!L23-MetaMetaverse!L24</f>
        <v>786.8152620848978</v>
      </c>
      <c r="N22" s="463">
        <f>MetaMetaverse!M25-MetaMetaverse!M23-MetaMetaverse!M24</f>
        <v>837.9936088986427</v>
      </c>
      <c r="O22" s="463">
        <f>MetaMetaverse!N25-MetaMetaverse!N23-MetaMetaverse!N24</f>
        <v>898.4524556923186</v>
      </c>
      <c r="P22" s="463">
        <f>MetaMetaverse!O25-MetaMetaverse!O23-MetaMetaverse!O24</f>
        <v>968.1802280164983</v>
      </c>
      <c r="Q22" s="463">
        <f>MetaMetaverse!P25-MetaMetaverse!P23-MetaMetaverse!P24</f>
        <v>1055.416534299549</v>
      </c>
      <c r="R22" s="463">
        <f>MetaMetaverse!Q25-MetaMetaverse!Q23-MetaMetaverse!Q24</f>
        <v>1169.0655623488317</v>
      </c>
      <c r="S22" s="463">
        <f>MetaMetaverse!R25-MetaMetaverse!R23-MetaMetaverse!R24</f>
        <v>1323.749431030624</v>
      </c>
      <c r="T22" s="463">
        <f>MetaMetaverse!S25-MetaMetaverse!S23-MetaMetaverse!S24</f>
        <v>1543.6704073100423</v>
      </c>
    </row>
    <row r="23" spans="2:20" ht="15">
      <c r="B23" s="465" t="s">
        <v>382</v>
      </c>
      <c r="C23" s="466">
        <f>Conservative!B25-Conservative!B23-Conservative!B24</f>
        <v>454.5474642863011</v>
      </c>
      <c r="D23" s="466">
        <f>Conservative!C25-Conservative!C23-Conservative!C24</f>
        <v>476.5466889039653</v>
      </c>
      <c r="E23" s="466">
        <f>Conservative!D25-Conservative!D23-Conservative!D24</f>
        <v>500.68074998165247</v>
      </c>
      <c r="F23" s="466">
        <f>Conservative!E25-Conservative!E23-Conservative!E24</f>
        <v>529.1182199472617</v>
      </c>
      <c r="G23" s="466">
        <f>Conservative!F25-Conservative!F23-Conservative!F24</f>
        <v>568.4469867022938</v>
      </c>
      <c r="H23" s="466">
        <f>Conservative!G25-Conservative!G23-Conservative!G24</f>
        <v>607.8300369613231</v>
      </c>
      <c r="I23" s="466">
        <f>Conservative!H25-Conservative!H23-Conservative!H24</f>
        <v>649.8675625000001</v>
      </c>
      <c r="J23" s="466">
        <f>Conservative!I25-Conservative!I23-Conservative!I24</f>
        <v>670.5712401375</v>
      </c>
      <c r="K23" s="466">
        <f>Conservative!J25-Conservative!J23-Conservative!J24</f>
        <v>705.1684835724025</v>
      </c>
      <c r="L23" s="466">
        <f>Conservative!K25-Conservative!K23-Conservative!K24</f>
        <v>743.7072079753577</v>
      </c>
      <c r="M23" s="466">
        <f>Conservative!L25-Conservative!L23-Conservative!L24</f>
        <v>786.8152620848978</v>
      </c>
      <c r="N23" s="466">
        <f>Conservative!M25-Conservative!M23-Conservative!M24</f>
        <v>835.3437372360448</v>
      </c>
      <c r="O23" s="466">
        <f>Conservative!N25-Conservative!N23-Conservative!N24</f>
        <v>890.4843014522143</v>
      </c>
      <c r="P23" s="466">
        <f>Conservative!O25-Conservative!O23-Conservative!O24</f>
        <v>948.2485428759143</v>
      </c>
      <c r="Q23" s="466">
        <f>Conservative!P25-Conservative!P23-Conservative!P24</f>
        <v>1013.3628885141165</v>
      </c>
      <c r="R23" s="466">
        <f>Conservative!Q25-Conservative!Q23-Conservative!Q24</f>
        <v>1087.1590181562676</v>
      </c>
      <c r="S23" s="466">
        <f>Conservative!R25-Conservative!R23-Conservative!R24</f>
        <v>1171.2925490368432</v>
      </c>
      <c r="T23" s="466">
        <f>Conservative!S25-Conservative!S23-Conservative!S24</f>
        <v>1267.8299895283315</v>
      </c>
    </row>
    <row r="24" spans="2:20" ht="15">
      <c r="B24" s="469" t="s">
        <v>383</v>
      </c>
      <c r="C24" s="470">
        <f>Growth!B25-Growth!B23-Growth!B24</f>
        <v>454.5474642863011</v>
      </c>
      <c r="D24" s="470">
        <f>Growth!C25-Growth!C23-Growth!C24</f>
        <v>476.5466889039653</v>
      </c>
      <c r="E24" s="470">
        <f>Growth!D25-Growth!D23-Growth!D24</f>
        <v>500.68074998165247</v>
      </c>
      <c r="F24" s="470">
        <f>Growth!E25-Growth!E23-Growth!E24</f>
        <v>529.1182199472617</v>
      </c>
      <c r="G24" s="470">
        <f>Growth!F25-Growth!F23-Growth!F24</f>
        <v>568.4469867022938</v>
      </c>
      <c r="H24" s="470">
        <f>Growth!G25-Growth!G23-Growth!G24</f>
        <v>607.8300369613231</v>
      </c>
      <c r="I24" s="470">
        <f>Growth!H25-Growth!H23-Growth!H24</f>
        <v>649.8675625000001</v>
      </c>
      <c r="J24" s="470">
        <f>Growth!I25-Growth!I23-Growth!I24</f>
        <v>671.8281101375</v>
      </c>
      <c r="K24" s="470">
        <f>Growth!J25-Growth!J23-Growth!J24</f>
        <v>708.3487172064026</v>
      </c>
      <c r="L24" s="470">
        <f>Growth!K25-Growth!K23-Growth!K24</f>
        <v>749.7563383275732</v>
      </c>
      <c r="M24" s="470">
        <f>Growth!L25-Growth!L23-Growth!L24</f>
        <v>797.0703366309873</v>
      </c>
      <c r="N24" s="470">
        <f>Growth!M25-Growth!M23-Growth!M24</f>
        <v>851.6942542068134</v>
      </c>
      <c r="O24" s="470">
        <f>Growth!N25-Growth!N23-Growth!N24</f>
        <v>915.6058819521386</v>
      </c>
      <c r="P24" s="470">
        <f>Growth!O25-Growth!O23-Growth!O24</f>
        <v>991.662481148096</v>
      </c>
      <c r="Q24" s="470">
        <f>Growth!P25-Growth!P23-Growth!P24</f>
        <v>1084.0988201397997</v>
      </c>
      <c r="R24" s="470">
        <f>Growth!Q25-Growth!Q23-Growth!Q24</f>
        <v>1199.3511708854285</v>
      </c>
      <c r="S24" s="470">
        <f>Growth!R25-Growth!R23-Growth!R24</f>
        <v>1347.4366083252207</v>
      </c>
      <c r="T24" s="470">
        <f>Growth!S25-Growth!S23-Growth!S24</f>
        <v>1544.2841271456907</v>
      </c>
    </row>
    <row r="26" spans="3:24" ht="16.5" hidden="1">
      <c r="C26" s="450" t="s">
        <v>384</v>
      </c>
      <c r="D26" s="451"/>
      <c r="E26" s="451"/>
      <c r="F26" s="451"/>
      <c r="G26" s="451"/>
      <c r="H26" s="451"/>
      <c r="I26" s="451"/>
      <c r="J26" s="451"/>
      <c r="K26" s="451"/>
      <c r="L26" s="451"/>
      <c r="M26" s="451"/>
      <c r="N26" s="451"/>
      <c r="O26" s="451"/>
      <c r="P26" s="451"/>
      <c r="Q26" s="451"/>
      <c r="R26" s="451"/>
      <c r="S26" s="451"/>
      <c r="T26" s="452"/>
      <c r="W26" s="476" t="s">
        <v>385</v>
      </c>
      <c r="X26" s="477"/>
    </row>
    <row r="27" spans="2:24" ht="15" hidden="1">
      <c r="B27" s="478" t="s">
        <v>386</v>
      </c>
      <c r="C27" s="479">
        <f>Conservative!B23+'DATA Conservative'!F19*Conservative!B91</f>
        <v>179.6186328746142</v>
      </c>
      <c r="D27" s="480">
        <f>Conservative!C23+'DATA Conservative'!G19*Conservative!C91</f>
        <v>168.0888200694444</v>
      </c>
      <c r="E27" s="480">
        <f>Conservative!D23+'DATA Conservative'!H19*Conservative!D91</f>
        <v>188.33777567151495</v>
      </c>
      <c r="F27" s="480">
        <f>Conservative!E23+'DATA Conservative'!I19*Conservative!E91</f>
        <v>182.44871074999998</v>
      </c>
      <c r="G27" s="480">
        <f>Conservative!F23+'DATA Conservative'!J19*Conservative!F91</f>
        <v>187.25837083333334</v>
      </c>
      <c r="H27" s="480">
        <f>Conservative!G23+'DATA Conservative'!K19*Conservative!G91</f>
        <v>208.49865799999998</v>
      </c>
      <c r="I27" s="480">
        <f>Conservative!H23+'DATA Conservative'!L19*Conservative!H91</f>
        <v>225.32915878499998</v>
      </c>
      <c r="J27" s="480">
        <f>Conservative!I23+'DATA Conservative'!M19*Conservative!I91</f>
        <v>231.359589667119</v>
      </c>
      <c r="K27" s="480">
        <f>Conservative!J23+'DATA Conservative'!N19*Conservative!J91</f>
        <v>242.56603242884387</v>
      </c>
      <c r="L27" s="480">
        <f>Conservative!K23+'DATA Conservative'!O19*Conservative!K91</f>
        <v>251.50366187877316</v>
      </c>
      <c r="M27" s="480">
        <f>Conservative!L23+'DATA Conservative'!P19*Conservative!L91</f>
        <v>261.81884532898795</v>
      </c>
      <c r="N27" s="480">
        <f>Conservative!M23+'DATA Conservative'!Q19*Conservative!M91</f>
        <v>269.0035799756887</v>
      </c>
      <c r="O27" s="480">
        <f>Conservative!N23+'DATA Conservative'!R19*Conservative!N91</f>
        <v>277.00861905752276</v>
      </c>
      <c r="P27" s="480">
        <f>Conservative!O23+'DATA Conservative'!S19*Conservative!O91</f>
        <v>271.9130148014904</v>
      </c>
      <c r="Q27" s="480">
        <f>Conservative!P23+'DATA Conservative'!T19*Conservative!P91</f>
        <v>267.4964986129814</v>
      </c>
      <c r="R27" s="480">
        <f>Conservative!Q23+'DATA Conservative'!U19*Conservative!Q91</f>
        <v>263.6955063598886</v>
      </c>
      <c r="S27" s="480">
        <f>Conservative!R23+'DATA Conservative'!V19*Conservative!R91</f>
        <v>260.45332582220726</v>
      </c>
      <c r="T27" s="481">
        <f>Conservative!S23+'DATA Conservative'!W19*Conservative!S91</f>
        <v>257.71937499955544</v>
      </c>
      <c r="W27" s="482" t="s">
        <v>387</v>
      </c>
      <c r="X27" s="483" t="s">
        <v>388</v>
      </c>
    </row>
    <row r="28" spans="2:24" ht="15" hidden="1">
      <c r="B28" s="49" t="s">
        <v>389</v>
      </c>
      <c r="C28" s="484">
        <f>'Meta-conf'!B23+'DATA Meta-conf'!F19*'Meta-conf'!B91</f>
        <v>179.6186328746142</v>
      </c>
      <c r="D28" s="485">
        <f>'Meta-conf'!C23+'DATA Meta-conf'!G19*'Meta-conf'!C91</f>
        <v>168.0888200694444</v>
      </c>
      <c r="E28" s="485">
        <f>'Meta-conf'!D23+'DATA Meta-conf'!H19*'Meta-conf'!D91</f>
        <v>188.33777567151495</v>
      </c>
      <c r="F28" s="485">
        <f>'Meta-conf'!E23+'DATA Meta-conf'!I19*'Meta-conf'!E91</f>
        <v>182.44871074999998</v>
      </c>
      <c r="G28" s="485">
        <f>'Meta-conf'!F23+'DATA Meta-conf'!J19*'Meta-conf'!F91</f>
        <v>187.25837083333334</v>
      </c>
      <c r="H28" s="485">
        <f>'Meta-conf'!G23+'DATA Meta-conf'!K19*'Meta-conf'!G91</f>
        <v>208.49865799999998</v>
      </c>
      <c r="I28" s="485">
        <f>'Meta-conf'!H23+'DATA Meta-conf'!L19*'Meta-conf'!H91</f>
        <v>225.32915878499998</v>
      </c>
      <c r="J28" s="485">
        <f>'Meta-conf'!I23+'DATA Meta-conf'!M19*'Meta-conf'!I91</f>
        <v>231.359589667119</v>
      </c>
      <c r="K28" s="485">
        <f>'Meta-conf'!J23+'DATA Meta-conf'!N19*'Meta-conf'!J91</f>
        <v>242.56603242884387</v>
      </c>
      <c r="L28" s="485">
        <f>'Meta-conf'!K23+'DATA Meta-conf'!O19*'Meta-conf'!K91</f>
        <v>251.50366187877316</v>
      </c>
      <c r="M28" s="485">
        <f>'Meta-conf'!L23+'DATA Meta-conf'!P19*'Meta-conf'!L91</f>
        <v>261.81884532898795</v>
      </c>
      <c r="N28" s="485">
        <f>'Meta-conf'!M23+'DATA Meta-conf'!Q19*'Meta-conf'!M91</f>
        <v>269.0035799756887</v>
      </c>
      <c r="O28" s="485">
        <f>'Meta-conf'!N23+'DATA Meta-conf'!R19*'Meta-conf'!N91</f>
        <v>277.00861905752276</v>
      </c>
      <c r="P28" s="485">
        <f>'Meta-conf'!O23+'DATA Meta-conf'!S19*'Meta-conf'!O91</f>
        <v>291.9139664637921</v>
      </c>
      <c r="Q28" s="485">
        <f>'Meta-conf'!P23+'DATA Meta-conf'!T19*'Meta-conf'!P91</f>
        <v>308.03368675934206</v>
      </c>
      <c r="R28" s="485">
        <f>'Meta-conf'!Q23+'DATA Meta-conf'!U19*'Meta-conf'!Q91</f>
        <v>325.4427736653972</v>
      </c>
      <c r="S28" s="485">
        <f>'Meta-conf'!R23+'DATA Meta-conf'!V19*'Meta-conf'!R91</f>
        <v>344.2231613380043</v>
      </c>
      <c r="T28" s="486">
        <f>'Meta-conf'!S23+'DATA Meta-conf'!W19*'Meta-conf'!S91</f>
        <v>364.4642255227224</v>
      </c>
      <c r="V28" s="487" t="s">
        <v>390</v>
      </c>
      <c r="W28" s="488">
        <f>T28-T27</f>
        <v>106.74485052316697</v>
      </c>
      <c r="X28" s="489">
        <f>W28/T27</f>
        <v>0.41419024286921036</v>
      </c>
    </row>
    <row r="29" spans="2:24" ht="15" hidden="1">
      <c r="B29" s="478" t="s">
        <v>391</v>
      </c>
      <c r="C29" s="490">
        <f>Conservative!B100*'DATA Conservative'!F19+(Conservative!B25-Conservative!B23-Conservative!B24)</f>
        <v>1055.0674248125117</v>
      </c>
      <c r="D29" s="491">
        <f>Conservative!C100*'DATA Conservative'!G19+(Conservative!C25-Conservative!C23-Conservative!C24)</f>
        <v>1078.0206440259776</v>
      </c>
      <c r="E29" s="491">
        <f>Conservative!D100*'DATA Conservative'!H19+(Conservative!D25-Conservative!D23-Conservative!D24)</f>
        <v>1115.4509852889184</v>
      </c>
      <c r="F29" s="491">
        <f>Conservative!E100*'DATA Conservative'!I19+(Conservative!E25-Conservative!E23-Conservative!E24)</f>
        <v>1160.3783754671467</v>
      </c>
      <c r="G29" s="491">
        <f>Conservative!F100*'DATA Conservative'!J19+(Conservative!F25-Conservative!F23-Conservative!F24)</f>
        <v>1209.421018584195</v>
      </c>
      <c r="H29" s="491">
        <f>Conservative!G100*'DATA Conservative'!K19+(Conservative!G25-Conservative!G23-Conservative!G24)</f>
        <v>1273.6614105658678</v>
      </c>
      <c r="I29" s="491">
        <f>Conservative!H100*'DATA Conservative'!L19+(Conservative!H25-Conservative!H23-Conservative!H24)</f>
        <v>1346.6797225</v>
      </c>
      <c r="J29" s="491">
        <f>Conservative!I100*'DATA Conservative'!M19+(Conservative!I25-Conservative!I23-Conservative!I24)</f>
        <v>1398.0764762649999</v>
      </c>
      <c r="K29" s="491">
        <f>Conservative!J100*'DATA Conservative'!N19+(Conservative!J25-Conservative!J23-Conservative!J24)</f>
        <v>1475.5016645254996</v>
      </c>
      <c r="L29" s="491">
        <f>Conservative!K100*'DATA Conservative'!O19+(Conservative!K25-Conservative!K23-Conservative!K24)</f>
        <v>1550.9366303073439</v>
      </c>
      <c r="M29" s="491">
        <f>Conservative!L100*'DATA Conservative'!P19+(Conservative!L25-Conservative!L23-Conservative!L24)</f>
        <v>1637.8054020029372</v>
      </c>
      <c r="N29" s="491">
        <f>Conservative!M100*'DATA Conservative'!Q19+(Conservative!M25-Conservative!M23-Conservative!M24)</f>
        <v>1720.1149234040772</v>
      </c>
      <c r="O29" s="491">
        <f>Conservative!N100*'DATA Conservative'!R19+(Conservative!N25-Conservative!N23-Conservative!N24)</f>
        <v>1815.66274724484</v>
      </c>
      <c r="P29" s="491">
        <f>Conservative!O100*'DATA Conservative'!S19+(Conservative!O25-Conservative!O23-Conservative!O24)</f>
        <v>1908.5704481095645</v>
      </c>
      <c r="Q29" s="491">
        <f>Conservative!P100*'DATA Conservative'!T19+(Conservative!P25-Conservative!P23-Conservative!P24)</f>
        <v>2014.7337264041794</v>
      </c>
      <c r="R29" s="491">
        <f>Conservative!Q100*'DATA Conservative'!U19+(Conservative!Q25-Conservative!Q23-Conservative!Q24)</f>
        <v>2136.2650637999877</v>
      </c>
      <c r="S29" s="491">
        <f>Conservative!R100*'DATA Conservative'!V19+(Conservative!R25-Conservative!R23-Conservative!R24)</f>
        <v>2275.7210172457662</v>
      </c>
      <c r="T29" s="492">
        <f>Conservative!S100*'DATA Conservative'!W19+(Conservative!S25-Conservative!S23-Conservative!S24)</f>
        <v>2436.2074551484448</v>
      </c>
      <c r="V29" s="493" t="s">
        <v>392</v>
      </c>
      <c r="W29" s="494" t="e">
        <f>T30-T29</f>
        <v>#REF!</v>
      </c>
      <c r="X29" s="495" t="e">
        <f>W29/T29</f>
        <v>#REF!</v>
      </c>
    </row>
    <row r="30" spans="2:20" ht="15" hidden="1">
      <c r="B30" s="49" t="s">
        <v>393</v>
      </c>
      <c r="C30" s="496">
        <f>'Meta-conf'!B100*'DATA Meta-conf'!F19+('Meta-conf'!B25-'Meta-conf'!B23-'Meta-conf'!B24)</f>
        <v>1055.0674248125117</v>
      </c>
      <c r="D30" s="497">
        <f>'Meta-conf'!C100*'DATA Meta-conf'!G19+('Meta-conf'!C25-'Meta-conf'!C23-'Meta-conf'!C24)</f>
        <v>1078.0206440259776</v>
      </c>
      <c r="E30" s="497">
        <f>'Meta-conf'!D100*'DATA Meta-conf'!H19+('Meta-conf'!D25-'Meta-conf'!D23-'Meta-conf'!D24)</f>
        <v>1115.4509852889184</v>
      </c>
      <c r="F30" s="497">
        <f>'Meta-conf'!E100*'DATA Meta-conf'!I19+('Meta-conf'!E25-'Meta-conf'!E23-'Meta-conf'!E24)</f>
        <v>1160.3783754671467</v>
      </c>
      <c r="G30" s="497">
        <f>'Meta-conf'!F100*'DATA Meta-conf'!J19+('Meta-conf'!F25-'Meta-conf'!F23-'Meta-conf'!F24)</f>
        <v>1209.421018584195</v>
      </c>
      <c r="H30" s="497">
        <f>'Meta-conf'!G100*'DATA Meta-conf'!K19+('Meta-conf'!G25-'Meta-conf'!G23-'Meta-conf'!G24)</f>
        <v>1273.6614105658678</v>
      </c>
      <c r="I30" s="497">
        <f>'Meta-conf'!H100*'DATA Meta-conf'!L19+('Meta-conf'!H25-'Meta-conf'!H23-'Meta-conf'!H24)</f>
        <v>1346.6797225</v>
      </c>
      <c r="J30" s="497">
        <f>'Meta-conf'!I100*'DATA Meta-conf'!M19+('Meta-conf'!I25-'Meta-conf'!I23-'Meta-conf'!I24)</f>
        <v>1398.0764762649999</v>
      </c>
      <c r="K30" s="497">
        <f>'Meta-conf'!J100*'DATA Meta-conf'!N19+('Meta-conf'!J25-'Meta-conf'!J23-'Meta-conf'!J24)</f>
        <v>1475.5016645254996</v>
      </c>
      <c r="L30" s="497">
        <f>'Meta-conf'!K100*'DATA Meta-conf'!O19+('Meta-conf'!K25-'Meta-conf'!K23-'Meta-conf'!K24)</f>
        <v>1550.9366303073439</v>
      </c>
      <c r="M30" s="497">
        <f>'Meta-conf'!L100*'DATA Meta-conf'!P19+('Meta-conf'!L25-'Meta-conf'!L23-'Meta-conf'!L24)</f>
        <v>1637.8054020029372</v>
      </c>
      <c r="N30" s="497">
        <f>'Meta-conf'!M100*'DATA Meta-conf'!Q19+('Meta-conf'!M25-'Meta-conf'!M23-'Meta-conf'!M24)</f>
        <v>1722.3874414272582</v>
      </c>
      <c r="O30" s="497">
        <f>'Meta-conf'!N100*'DATA Meta-conf'!R19+('Meta-conf'!N25-'Meta-conf'!N23-'Meta-conf'!N24)</f>
        <v>1821.9661364851122</v>
      </c>
      <c r="P30" s="497" t="e">
        <f>'Meta-conf'!O100*'DATA Meta-conf'!S19+('Meta-conf'!O25-'Meta-conf'!O23-'Meta-conf'!O24)</f>
        <v>#REF!</v>
      </c>
      <c r="Q30" s="497" t="e">
        <f>'Meta-conf'!P100*'DATA Meta-conf'!T19+('Meta-conf'!P25-'Meta-conf'!P23-'Meta-conf'!P24)</f>
        <v>#REF!</v>
      </c>
      <c r="R30" s="497" t="e">
        <f>'Meta-conf'!Q100*'DATA Meta-conf'!U19+('Meta-conf'!Q25-'Meta-conf'!Q23-'Meta-conf'!Q24)</f>
        <v>#REF!</v>
      </c>
      <c r="S30" s="497" t="e">
        <f>'Meta-conf'!R100*'DATA Meta-conf'!V19+('Meta-conf'!R25-'Meta-conf'!R23-'Meta-conf'!R24)</f>
        <v>#REF!</v>
      </c>
      <c r="T30" s="498" t="e">
        <f>'Meta-conf'!S100*'DATA Meta-conf'!W19+('Meta-conf'!S25-'Meta-conf'!S23-'Meta-conf'!S24)</f>
        <v>#REF!</v>
      </c>
    </row>
    <row r="31" spans="2:20" ht="15" hidden="1">
      <c r="B31" s="478" t="s">
        <v>394</v>
      </c>
      <c r="C31" s="499">
        <f aca="true" t="shared" si="0" ref="C31:T31">C6+(C28-C27)</f>
        <v>1381.8074779601266</v>
      </c>
      <c r="D31" s="500">
        <f t="shared" si="0"/>
        <v>1400.5524252300206</v>
      </c>
      <c r="E31" s="500">
        <f t="shared" si="0"/>
        <v>1483.0952153153337</v>
      </c>
      <c r="F31" s="500">
        <f t="shared" si="0"/>
        <v>1558.550062036543</v>
      </c>
      <c r="G31" s="500">
        <f t="shared" si="0"/>
        <v>1638.5425299472017</v>
      </c>
      <c r="H31" s="500">
        <f t="shared" si="0"/>
        <v>1743.512736007179</v>
      </c>
      <c r="I31" s="500">
        <f t="shared" si="0"/>
        <v>1840.1298077720355</v>
      </c>
      <c r="J31" s="500">
        <f t="shared" si="0"/>
        <v>1903.6407907467628</v>
      </c>
      <c r="K31" s="500">
        <f t="shared" si="0"/>
        <v>2003.6481732698603</v>
      </c>
      <c r="L31" s="500">
        <f t="shared" si="0"/>
        <v>2095.870813788034</v>
      </c>
      <c r="M31" s="500">
        <f t="shared" si="0"/>
        <v>2201.8720809055467</v>
      </c>
      <c r="N31" s="500">
        <f t="shared" si="0"/>
        <v>2296.0150305184106</v>
      </c>
      <c r="O31" s="500">
        <f t="shared" si="0"/>
        <v>2404.878107201495</v>
      </c>
      <c r="P31" s="500">
        <f t="shared" si="0"/>
        <v>2518.0126466128113</v>
      </c>
      <c r="Q31" s="500">
        <f t="shared" si="0"/>
        <v>2646.832375698881</v>
      </c>
      <c r="R31" s="500">
        <f t="shared" si="0"/>
        <v>2793.643365895178</v>
      </c>
      <c r="S31" s="500">
        <f t="shared" si="0"/>
        <v>2961.2161939046828</v>
      </c>
      <c r="T31" s="501">
        <f t="shared" si="0"/>
        <v>3152.893163778409</v>
      </c>
    </row>
    <row r="32" spans="2:29" ht="15" hidden="1">
      <c r="B32" s="49" t="s">
        <v>395</v>
      </c>
      <c r="C32" s="502">
        <f>C7</f>
        <v>1381.8074779601266</v>
      </c>
      <c r="D32" s="503">
        <f aca="true" t="shared" si="1" ref="D32:T32">D7</f>
        <v>1400.5524252300206</v>
      </c>
      <c r="E32" s="503">
        <f t="shared" si="1"/>
        <v>1483.0952153153337</v>
      </c>
      <c r="F32" s="503">
        <f t="shared" si="1"/>
        <v>1558.550062036543</v>
      </c>
      <c r="G32" s="503">
        <f t="shared" si="1"/>
        <v>1638.5425299472017</v>
      </c>
      <c r="H32" s="503">
        <f t="shared" si="1"/>
        <v>1743.512736007179</v>
      </c>
      <c r="I32" s="503">
        <f t="shared" si="1"/>
        <v>1840.1298077720355</v>
      </c>
      <c r="J32" s="503">
        <f t="shared" si="1"/>
        <v>1903.6407907467628</v>
      </c>
      <c r="K32" s="503">
        <f t="shared" si="1"/>
        <v>2003.6481732698603</v>
      </c>
      <c r="L32" s="503">
        <f t="shared" si="1"/>
        <v>2095.870813788034</v>
      </c>
      <c r="M32" s="503">
        <f t="shared" si="1"/>
        <v>2201.8720809055467</v>
      </c>
      <c r="N32" s="503">
        <f t="shared" si="1"/>
        <v>2298.2875485415916</v>
      </c>
      <c r="O32" s="503">
        <f t="shared" si="1"/>
        <v>2411.181496441767</v>
      </c>
      <c r="P32" s="503" t="e">
        <f t="shared" si="1"/>
        <v>#REF!</v>
      </c>
      <c r="Q32" s="503" t="e">
        <f t="shared" si="1"/>
        <v>#REF!</v>
      </c>
      <c r="R32" s="503" t="e">
        <f t="shared" si="1"/>
        <v>#REF!</v>
      </c>
      <c r="S32" s="503" t="e">
        <f t="shared" si="1"/>
        <v>#REF!</v>
      </c>
      <c r="T32" s="504" t="e">
        <f t="shared" si="1"/>
        <v>#REF!</v>
      </c>
      <c r="V32" s="142"/>
      <c r="W32" s="142"/>
      <c r="X32" s="142"/>
      <c r="Y32" s="142"/>
      <c r="Z32" s="142"/>
      <c r="AA32" s="142"/>
      <c r="AB32" s="142"/>
      <c r="AC32" s="142"/>
    </row>
    <row r="33" spans="15:29" ht="15">
      <c r="O33" s="472"/>
      <c r="V33" s="142"/>
      <c r="W33" s="142"/>
      <c r="X33" s="142"/>
      <c r="Y33" s="142"/>
      <c r="Z33" s="142"/>
      <c r="AA33" s="142"/>
      <c r="AB33" s="142"/>
      <c r="AC33" s="142"/>
    </row>
    <row r="34" spans="22:29" ht="15">
      <c r="V34" s="142"/>
      <c r="W34" s="142"/>
      <c r="X34" s="142"/>
      <c r="Y34" s="142"/>
      <c r="Z34" s="142"/>
      <c r="AA34" s="142"/>
      <c r="AB34" s="142"/>
      <c r="AC34" s="142"/>
    </row>
    <row r="35" spans="22:29" ht="15">
      <c r="V35" s="142"/>
      <c r="W35" s="142"/>
      <c r="X35" s="142"/>
      <c r="Y35" s="142"/>
      <c r="Z35" s="142"/>
      <c r="AA35" s="142"/>
      <c r="AB35" s="142"/>
      <c r="AC35" s="142"/>
    </row>
    <row r="36" spans="22:29" ht="15">
      <c r="V36" s="142"/>
      <c r="W36" s="142"/>
      <c r="X36" s="142"/>
      <c r="Y36" s="142"/>
      <c r="Z36" s="142"/>
      <c r="AA36" s="142"/>
      <c r="AB36" s="142"/>
      <c r="AC36" s="142"/>
    </row>
    <row r="37" spans="22:29" ht="15">
      <c r="V37" s="142"/>
      <c r="W37" s="142"/>
      <c r="X37" s="142"/>
      <c r="Y37" s="142"/>
      <c r="Z37" s="142"/>
      <c r="AA37" s="142"/>
      <c r="AB37" s="142"/>
      <c r="AC37" s="142"/>
    </row>
    <row r="38" spans="22:29" ht="15">
      <c r="V38" s="142"/>
      <c r="W38" s="142"/>
      <c r="X38" s="142"/>
      <c r="Y38" s="142"/>
      <c r="Z38" s="142"/>
      <c r="AA38" s="142"/>
      <c r="AB38" s="142"/>
      <c r="AC38" s="142"/>
    </row>
    <row r="39" spans="22:29" ht="15">
      <c r="V39" s="142"/>
      <c r="W39" s="142"/>
      <c r="X39" s="142"/>
      <c r="Y39" s="142"/>
      <c r="Z39" s="142"/>
      <c r="AA39" s="142"/>
      <c r="AB39" s="142"/>
      <c r="AC39" s="142"/>
    </row>
    <row r="40" spans="22:29" ht="15">
      <c r="V40" s="142"/>
      <c r="W40" s="142"/>
      <c r="X40" s="142"/>
      <c r="Y40" s="142"/>
      <c r="Z40" s="142"/>
      <c r="AA40" s="142"/>
      <c r="AB40" s="142"/>
      <c r="AC40" s="142"/>
    </row>
    <row r="41" spans="22:29" ht="15">
      <c r="V41" s="142"/>
      <c r="W41" s="142"/>
      <c r="X41" s="142"/>
      <c r="Y41" s="142"/>
      <c r="Z41" s="142"/>
      <c r="AA41" s="142"/>
      <c r="AB41" s="142"/>
      <c r="AC41" s="142"/>
    </row>
    <row r="42" spans="22:29" ht="15">
      <c r="V42" s="142"/>
      <c r="W42" s="142"/>
      <c r="X42" s="142"/>
      <c r="Y42" s="142"/>
      <c r="Z42" s="142"/>
      <c r="AA42" s="142"/>
      <c r="AB42" s="142"/>
      <c r="AC42" s="142"/>
    </row>
    <row r="43" spans="22:29" ht="15">
      <c r="V43" s="142"/>
      <c r="W43" s="142"/>
      <c r="X43" s="142"/>
      <c r="Y43" s="142"/>
      <c r="Z43" s="142"/>
      <c r="AA43" s="142"/>
      <c r="AB43" s="142"/>
      <c r="AC43" s="142"/>
    </row>
    <row r="102" spans="3:8" ht="29.4" customHeight="1">
      <c r="C102" s="505" t="s">
        <v>396</v>
      </c>
      <c r="D102" s="505" t="s">
        <v>363</v>
      </c>
      <c r="E102" s="505" t="s">
        <v>18</v>
      </c>
      <c r="F102" s="505" t="s">
        <v>396</v>
      </c>
      <c r="G102" s="505" t="s">
        <v>363</v>
      </c>
      <c r="H102" s="505" t="s">
        <v>2</v>
      </c>
    </row>
    <row r="103" spans="2:8" ht="15">
      <c r="B103" s="506" t="s">
        <v>397</v>
      </c>
      <c r="C103" s="507">
        <v>2023</v>
      </c>
      <c r="D103" s="507">
        <v>2023</v>
      </c>
      <c r="E103" s="507">
        <v>2023</v>
      </c>
      <c r="F103" s="507">
        <v>2030</v>
      </c>
      <c r="G103" s="507">
        <v>2030</v>
      </c>
      <c r="H103" s="507">
        <v>2030</v>
      </c>
    </row>
    <row r="104" spans="1:10" ht="15">
      <c r="A104" s="508" t="s">
        <v>398</v>
      </c>
      <c r="B104" s="509" t="s">
        <v>399</v>
      </c>
      <c r="C104" s="510">
        <f>Conservative!L100*$I$104</f>
        <v>895.7790946505678</v>
      </c>
      <c r="D104" s="510">
        <f>MetaMetaverse!L100*$I$104</f>
        <v>895.7790946505678</v>
      </c>
      <c r="E104" s="510">
        <f>Growth!L100*$I$104</f>
        <v>960.8162427087844</v>
      </c>
      <c r="F104" s="510">
        <f>Conservative!S100*$I$104</f>
        <v>1622.19249480219</v>
      </c>
      <c r="G104" s="510">
        <f>MetaMetaverse!S100*$I$104</f>
        <v>1780.5474165044977</v>
      </c>
      <c r="H104" s="511">
        <f>Growth!S100*$I$104</f>
        <v>2162.406648656765</v>
      </c>
      <c r="I104" s="512">
        <v>0.6</v>
      </c>
      <c r="J104" s="1" t="s">
        <v>400</v>
      </c>
    </row>
    <row r="105" spans="1:10" ht="15">
      <c r="A105" s="513"/>
      <c r="B105" s="509" t="s">
        <v>401</v>
      </c>
      <c r="C105" s="472">
        <f>Conservative!L101*$I$104</f>
        <v>255.43301983315894</v>
      </c>
      <c r="D105" s="472">
        <f>MetaMetaverse!L101*$I$104</f>
        <v>283.30281456641967</v>
      </c>
      <c r="E105" s="472">
        <f>Growth!L101*$I$104</f>
        <v>310.55812289004626</v>
      </c>
      <c r="F105" s="472">
        <f>Conservative!S101*$I$104</f>
        <v>324.0750823710262</v>
      </c>
      <c r="G105" s="472">
        <f>MetaMetaverse!S101*$I$104</f>
        <v>680.3282661771852</v>
      </c>
      <c r="H105" s="514">
        <f>Growth!S101*$I$104</f>
        <v>687.7109070716599</v>
      </c>
      <c r="I105" s="512">
        <v>0.6</v>
      </c>
      <c r="J105" s="1" t="s">
        <v>400</v>
      </c>
    </row>
    <row r="106" spans="1:10" ht="15">
      <c r="A106" s="513"/>
      <c r="B106" s="509" t="s">
        <v>402</v>
      </c>
      <c r="C106" s="515">
        <f>Conservative!L102*$I$104</f>
        <v>300.4031654327365</v>
      </c>
      <c r="D106" s="515">
        <f>MetaMetaverse!L102*$I$104</f>
        <v>300.4031654327365</v>
      </c>
      <c r="E106" s="515">
        <f>Growth!L102*$I$104</f>
        <v>334.9855085134555</v>
      </c>
      <c r="F106" s="515">
        <f>Conservative!S102*$I$104</f>
        <v>462.68149231317835</v>
      </c>
      <c r="G106" s="515">
        <f>MetaMetaverse!S102*$I$104</f>
        <v>722.5017809984626</v>
      </c>
      <c r="H106" s="516">
        <f>Growth!S102*$I$104</f>
        <v>630.1567843122413</v>
      </c>
      <c r="I106" s="512">
        <v>0.6</v>
      </c>
      <c r="J106" s="1" t="s">
        <v>400</v>
      </c>
    </row>
    <row r="107" spans="1:8" ht="15">
      <c r="A107" s="508" t="s">
        <v>403</v>
      </c>
      <c r="B107" s="517" t="s">
        <v>404</v>
      </c>
      <c r="C107" s="518">
        <f>SUM(Conservative!L6:L9)</f>
        <v>182.80604900581997</v>
      </c>
      <c r="D107" s="510">
        <f>SUM(MetaMetaverse!L6:L9)</f>
        <v>182.80604900581997</v>
      </c>
      <c r="E107" s="510">
        <f>SUM(Growth!L6:L9)</f>
        <v>182.80604900581997</v>
      </c>
      <c r="F107" s="510">
        <f>SUM(Conservative!S6:S9)</f>
        <v>191.87995975730817</v>
      </c>
      <c r="G107" s="510">
        <f>SUM(MetaMetaverse!S6:S9)</f>
        <v>191.87995975730817</v>
      </c>
      <c r="H107" s="511">
        <f>SUM(Growth!S6:S9)</f>
        <v>191.87995975730817</v>
      </c>
    </row>
    <row r="108" spans="1:8" ht="15">
      <c r="A108" s="508"/>
      <c r="B108" s="509" t="s">
        <v>405</v>
      </c>
      <c r="C108" s="519">
        <f>SUM(Conservative!L11:L13)</f>
        <v>183.789525835452</v>
      </c>
      <c r="D108" s="472">
        <f>SUM(MetaMetaverse!L11:L13)</f>
        <v>183.789525835452</v>
      </c>
      <c r="E108" s="472">
        <f>SUM(Growth!L11:L13)</f>
        <v>183.789525835452</v>
      </c>
      <c r="F108" s="472">
        <f>SUM(Conservative!S11:S13)</f>
        <v>283.3748041201148</v>
      </c>
      <c r="G108" s="472">
        <f>SUM(MetaMetaverse!S11:S13)</f>
        <v>283.3748041201148</v>
      </c>
      <c r="H108" s="514">
        <f>SUM(Growth!S11:S13)</f>
        <v>302.0257275584935</v>
      </c>
    </row>
    <row r="109" spans="1:8" ht="15">
      <c r="A109" s="508"/>
      <c r="B109" s="509" t="s">
        <v>406</v>
      </c>
      <c r="C109" s="519">
        <f>SUM(Conservative!L15:L18)</f>
        <v>351.7044567492334</v>
      </c>
      <c r="D109" s="472">
        <f>SUM(MetaMetaverse!L15:L18)</f>
        <v>351.7044567492334</v>
      </c>
      <c r="E109" s="472">
        <f>SUM(Growth!L15:L18)</f>
        <v>351.7044567492334</v>
      </c>
      <c r="F109" s="472">
        <f>SUM(Conservative!S15:S18)</f>
        <v>550.6388419215709</v>
      </c>
      <c r="G109" s="472">
        <f>SUM(MetaMetaverse!S15:S18)</f>
        <v>550.6388419215709</v>
      </c>
      <c r="H109" s="514">
        <f>SUM(Growth!S15:S18)</f>
        <v>550.6388419215709</v>
      </c>
    </row>
    <row r="110" spans="1:8" ht="15">
      <c r="A110" s="508"/>
      <c r="B110" s="509" t="s">
        <v>407</v>
      </c>
      <c r="C110" s="519">
        <f>Conservative!L25-'Output - Graphiques'!C107-'Output - Graphiques'!C108-'Output - Graphiques'!C109-'Output - Graphiques'!C111-'Output - Graphiques'!C112</f>
        <v>68.5152304943925</v>
      </c>
      <c r="D110" s="472">
        <f>MetaMetaverse!L25-'Output - Graphiques'!D107-'Output - Graphiques'!D108-'Output - Graphiques'!D109-'Output - Graphiques'!D111-'Output - Graphiques'!D112</f>
        <v>68.51523049439247</v>
      </c>
      <c r="E110" s="472">
        <f>Growth!L25-'Output - Graphiques'!E107-'Output - Graphiques'!E108-'Output - Graphiques'!E109-'Output - Graphiques'!E111-'Output - Graphiques'!E112</f>
        <v>78.77030504048196</v>
      </c>
      <c r="F110" s="472">
        <f>Conservative!S25-'Output - Graphiques'!F107-'Output - Graphiques'!F108-'Output - Graphiques'!F109-'Output - Graphiques'!F111-'Output - Graphiques'!F112</f>
        <v>241.9363837293376</v>
      </c>
      <c r="G110" s="472">
        <f>MetaMetaverse!S25-'Output - Graphiques'!G107-'Output - Graphiques'!G108-'Output - Graphiques'!G109-'Output - Graphiques'!G111-'Output - Graphiques'!G112</f>
        <v>517.7768015110485</v>
      </c>
      <c r="H110" s="514">
        <f>Growth!S25-'Output - Graphiques'!H107-'Output - Graphiques'!H108-'Output - Graphiques'!H109-'Output - Graphiques'!H111-'Output - Graphiques'!H112</f>
        <v>499.7395979083184</v>
      </c>
    </row>
    <row r="111" spans="1:8" ht="15">
      <c r="A111" s="508"/>
      <c r="B111" s="509" t="s">
        <v>408</v>
      </c>
      <c r="C111" s="519">
        <f>Conservative!L23</f>
        <v>19.15747648748692</v>
      </c>
      <c r="D111" s="472">
        <f>MetaMetaverse!L23</f>
        <v>21.247711092481474</v>
      </c>
      <c r="E111" s="472">
        <f>Growth!L23</f>
        <v>23.29185921675347</v>
      </c>
      <c r="F111" s="472">
        <f>Conservative!S23</f>
        <v>24.305631177826964</v>
      </c>
      <c r="G111" s="472">
        <f>MetaMetaverse!S23</f>
        <v>51.02461996328889</v>
      </c>
      <c r="H111" s="514">
        <f>Growth!S23</f>
        <v>51.57831803037449</v>
      </c>
    </row>
    <row r="112" spans="1:8" ht="15">
      <c r="A112" s="508"/>
      <c r="B112" s="509" t="s">
        <v>409</v>
      </c>
      <c r="C112" s="520">
        <f>Conservative!L24</f>
        <v>16.864826412521992</v>
      </c>
      <c r="D112" s="515">
        <f>MetaMetaverse!L24</f>
        <v>16.864826412521992</v>
      </c>
      <c r="E112" s="515">
        <f>Growth!L24</f>
        <v>18.728373347962325</v>
      </c>
      <c r="F112" s="515">
        <f>Conservative!S24</f>
        <v>18.977043183901223</v>
      </c>
      <c r="G112" s="515">
        <f>MetaMetaverse!S24</f>
        <v>38.46356483529754</v>
      </c>
      <c r="H112" s="516">
        <f>Growth!S24</f>
        <v>25.31649327648427</v>
      </c>
    </row>
    <row r="113" spans="1:8" ht="15">
      <c r="A113" s="508"/>
      <c r="B113" s="509"/>
      <c r="C113" s="505" t="s">
        <v>396</v>
      </c>
      <c r="D113" s="505" t="s">
        <v>363</v>
      </c>
      <c r="E113" s="505" t="s">
        <v>18</v>
      </c>
      <c r="F113" s="505" t="s">
        <v>396</v>
      </c>
      <c r="G113" s="505" t="s">
        <v>363</v>
      </c>
      <c r="H113" s="505" t="s">
        <v>2</v>
      </c>
    </row>
    <row r="114" spans="1:8" ht="15">
      <c r="A114" s="508"/>
      <c r="B114" s="506" t="s">
        <v>410</v>
      </c>
      <c r="C114" s="507">
        <v>2023</v>
      </c>
      <c r="D114" s="507">
        <v>2023</v>
      </c>
      <c r="E114" s="507">
        <v>2023</v>
      </c>
      <c r="F114" s="507">
        <v>2030</v>
      </c>
      <c r="G114" s="507">
        <v>2030</v>
      </c>
      <c r="H114" s="507">
        <v>2030</v>
      </c>
    </row>
    <row r="115" spans="1:8" ht="15">
      <c r="A115" s="508" t="s">
        <v>398</v>
      </c>
      <c r="B115" s="509" t="s">
        <v>399</v>
      </c>
      <c r="C115" s="521">
        <f aca="true" t="shared" si="2" ref="C115:D123">C104/SUM(C$104:C$112)</f>
        <v>0.3938437750682023</v>
      </c>
      <c r="D115" s="522">
        <f>D104/SUM(D$104:D$112)</f>
        <v>0.3887233510384476</v>
      </c>
      <c r="E115" s="522">
        <f aca="true" t="shared" si="3" ref="E115:H123">E104/SUM(E$104:E$112)</f>
        <v>0.39289949438070687</v>
      </c>
      <c r="F115" s="522">
        <f t="shared" si="3"/>
        <v>0.43606601477815615</v>
      </c>
      <c r="G115" s="522">
        <f t="shared" si="3"/>
        <v>0.36967384773639117</v>
      </c>
      <c r="H115" s="523">
        <f t="shared" si="3"/>
        <v>0.4238805161213711</v>
      </c>
    </row>
    <row r="116" spans="1:8" ht="15">
      <c r="A116" s="513"/>
      <c r="B116" s="509" t="s">
        <v>401</v>
      </c>
      <c r="C116" s="524">
        <f t="shared" si="2"/>
        <v>0.11230526076008213</v>
      </c>
      <c r="D116" s="525">
        <f t="shared" si="2"/>
        <v>0.12293926046559672</v>
      </c>
      <c r="E116" s="525">
        <f t="shared" si="3"/>
        <v>0.1269942409750699</v>
      </c>
      <c r="F116" s="525">
        <f t="shared" si="3"/>
        <v>0.08711551194525062</v>
      </c>
      <c r="G116" s="525">
        <f t="shared" si="3"/>
        <v>0.14124845289168544</v>
      </c>
      <c r="H116" s="526">
        <f t="shared" si="3"/>
        <v>0.13480686179581847</v>
      </c>
    </row>
    <row r="117" spans="1:8" ht="15">
      <c r="A117" s="513"/>
      <c r="B117" s="509" t="s">
        <v>402</v>
      </c>
      <c r="C117" s="527">
        <f t="shared" si="2"/>
        <v>0.13207711301034394</v>
      </c>
      <c r="D117" s="528">
        <f t="shared" si="2"/>
        <v>0.13035995797057806</v>
      </c>
      <c r="E117" s="528">
        <f t="shared" si="3"/>
        <v>0.13698315148039422</v>
      </c>
      <c r="F117" s="528">
        <f t="shared" si="3"/>
        <v>0.12437468124842997</v>
      </c>
      <c r="G117" s="528">
        <f t="shared" si="3"/>
        <v>0.15000443734457683</v>
      </c>
      <c r="H117" s="529">
        <f t="shared" si="3"/>
        <v>0.12352495453969281</v>
      </c>
    </row>
    <row r="118" spans="1:8" ht="15">
      <c r="A118" s="508" t="s">
        <v>403</v>
      </c>
      <c r="B118" s="517" t="s">
        <v>404</v>
      </c>
      <c r="C118" s="521">
        <f t="shared" si="2"/>
        <v>0.08037363773692448</v>
      </c>
      <c r="D118" s="522">
        <f t="shared" si="2"/>
        <v>0.07932868760166926</v>
      </c>
      <c r="E118" s="522">
        <f t="shared" si="3"/>
        <v>0.07475352833506456</v>
      </c>
      <c r="F118" s="522">
        <f t="shared" si="3"/>
        <v>0.05157977837726672</v>
      </c>
      <c r="G118" s="522">
        <f t="shared" si="3"/>
        <v>0.039837750103976985</v>
      </c>
      <c r="H118" s="523">
        <f t="shared" si="3"/>
        <v>0.037612803505667425</v>
      </c>
    </row>
    <row r="119" spans="1:8" ht="15">
      <c r="A119" s="508"/>
      <c r="B119" s="509" t="s">
        <v>405</v>
      </c>
      <c r="C119" s="524">
        <f t="shared" si="2"/>
        <v>0.08080603924036153</v>
      </c>
      <c r="D119" s="525">
        <f t="shared" si="2"/>
        <v>0.07975546738606729</v>
      </c>
      <c r="E119" s="525">
        <f t="shared" si="3"/>
        <v>0.07515569425599881</v>
      </c>
      <c r="F119" s="525">
        <f t="shared" si="3"/>
        <v>0.07617475849329904</v>
      </c>
      <c r="G119" s="525">
        <f t="shared" si="3"/>
        <v>0.05883373462543471</v>
      </c>
      <c r="H119" s="526">
        <f t="shared" si="3"/>
        <v>0.0592038603650019</v>
      </c>
    </row>
    <row r="120" spans="1:8" ht="15">
      <c r="A120" s="508"/>
      <c r="B120" s="509" t="s">
        <v>406</v>
      </c>
      <c r="C120" s="524">
        <f t="shared" si="2"/>
        <v>0.1546325559299449</v>
      </c>
      <c r="D120" s="525">
        <f t="shared" si="2"/>
        <v>0.15262215407700472</v>
      </c>
      <c r="E120" s="525">
        <f t="shared" si="3"/>
        <v>0.14381990758049412</v>
      </c>
      <c r="F120" s="525">
        <f t="shared" si="3"/>
        <v>0.14801873769492327</v>
      </c>
      <c r="G120" s="525">
        <f t="shared" si="3"/>
        <v>0.11432258277393838</v>
      </c>
      <c r="H120" s="526">
        <f t="shared" si="3"/>
        <v>0.10793764283659375</v>
      </c>
    </row>
    <row r="121" spans="1:8" ht="15">
      <c r="A121" s="508"/>
      <c r="B121" s="509" t="s">
        <v>407</v>
      </c>
      <c r="C121" s="524">
        <f t="shared" si="2"/>
        <v>0.03012382984680591</v>
      </c>
      <c r="D121" s="525">
        <f t="shared" si="2"/>
        <v>0.029732185260855252</v>
      </c>
      <c r="E121" s="525">
        <f t="shared" si="3"/>
        <v>0.03221095943941046</v>
      </c>
      <c r="F121" s="525">
        <f t="shared" si="3"/>
        <v>0.065035583027744</v>
      </c>
      <c r="G121" s="525">
        <f t="shared" si="3"/>
        <v>0.1074998288217434</v>
      </c>
      <c r="H121" s="526">
        <f t="shared" si="3"/>
        <v>0.09796024203830862</v>
      </c>
    </row>
    <row r="122" spans="1:8" ht="15">
      <c r="A122" s="508"/>
      <c r="B122" s="509" t="s">
        <v>408</v>
      </c>
      <c r="C122" s="524">
        <f t="shared" si="2"/>
        <v>0.00842289455700616</v>
      </c>
      <c r="D122" s="525">
        <f t="shared" si="2"/>
        <v>0.009220444534919754</v>
      </c>
      <c r="E122" s="525">
        <f t="shared" si="3"/>
        <v>0.009524568073130242</v>
      </c>
      <c r="F122" s="525">
        <f t="shared" si="3"/>
        <v>0.006533663395893796</v>
      </c>
      <c r="G122" s="525">
        <f t="shared" si="3"/>
        <v>0.010593633966876409</v>
      </c>
      <c r="H122" s="526">
        <f t="shared" si="3"/>
        <v>0.010110514634686384</v>
      </c>
    </row>
    <row r="123" spans="1:8" ht="15">
      <c r="A123" s="508"/>
      <c r="B123" s="509" t="s">
        <v>409</v>
      </c>
      <c r="C123" s="527">
        <f t="shared" si="2"/>
        <v>0.007414893850328792</v>
      </c>
      <c r="D123" s="528">
        <f t="shared" si="2"/>
        <v>0.007318491664861398</v>
      </c>
      <c r="E123" s="528">
        <f t="shared" si="3"/>
        <v>0.007658455479730858</v>
      </c>
      <c r="F123" s="528">
        <f t="shared" si="3"/>
        <v>0.005101271039036499</v>
      </c>
      <c r="G123" s="528">
        <f t="shared" si="3"/>
        <v>0.007985731735376492</v>
      </c>
      <c r="H123" s="529">
        <f t="shared" si="3"/>
        <v>0.004962604162859617</v>
      </c>
    </row>
  </sheetData>
  <mergeCells count="9">
    <mergeCell ref="C2:T2"/>
    <mergeCell ref="C10:T10"/>
    <mergeCell ref="C21:T21"/>
    <mergeCell ref="C26:T26"/>
    <mergeCell ref="W26:X26"/>
    <mergeCell ref="A104:A106"/>
    <mergeCell ref="A107:A112"/>
    <mergeCell ref="A115:A117"/>
    <mergeCell ref="A118:A123"/>
  </mergeCells>
  <printOptions/>
  <pageMargins left="0.7" right="0.7" top="0.75" bottom="0.75" header="0.3" footer="0.3"/>
  <pageSetup horizontalDpi="600" verticalDpi="600" orientation="portrait" paperSize="9" copies="1"/>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dimension ref="A1:A1"/>
  <sheetViews>
    <sheetView workbookViewId="0" topLeftCell="A1">
      <selection activeCell="A1" sqref="A1"/>
    </sheetView>
  </sheetViews>
  <sheetFormatPr defaultColWidth="11.421875" defaultRowHeight="15"/>
  <sheetData/>
  <printOptions/>
  <pageMargins left="0.7" right="0.7" top="0.75" bottom="0.75" header="0.3" footer="0.3"/>
  <pageSetup horizontalDpi="600" verticalDpi="600" orientation="portrait" paperSize="9" copies="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0" tint="-0.04997999966144562"/>
  </sheetPr>
  <dimension ref="A2:XFD424"/>
  <sheetViews>
    <sheetView zoomScale="50" zoomScaleNormal="50" workbookViewId="0" topLeftCell="A1">
      <selection activeCell="D143" sqref="D143"/>
    </sheetView>
  </sheetViews>
  <sheetFormatPr defaultColWidth="11.421875" defaultRowHeight="15"/>
  <cols>
    <col min="1" max="1" width="48.8515625" style="143" customWidth="1"/>
    <col min="2" max="3" width="13.57421875" style="143" customWidth="1"/>
    <col min="4" max="4" width="17.140625" style="143" customWidth="1"/>
    <col min="5" max="5" width="15.57421875" style="143" customWidth="1"/>
    <col min="6" max="6" width="12.8515625" style="143" customWidth="1"/>
    <col min="7" max="7" width="15.57421875" style="143" customWidth="1"/>
    <col min="8" max="8" width="12.8515625" style="143" customWidth="1"/>
    <col min="9" max="9" width="18.140625" style="143" customWidth="1"/>
    <col min="10" max="10" width="15.8515625" style="143" customWidth="1"/>
    <col min="11" max="11" width="16.00390625" style="142" customWidth="1"/>
    <col min="12" max="12" width="11.8515625" style="142" customWidth="1"/>
    <col min="13" max="13" width="13.28125" style="142" customWidth="1"/>
    <col min="14" max="14" width="11.140625" style="142" customWidth="1"/>
    <col min="15" max="16" width="8.57421875" style="142" customWidth="1"/>
    <col min="17" max="17" width="18.57421875" style="142" customWidth="1"/>
    <col min="18" max="18" width="16.28125" style="142" customWidth="1"/>
    <col min="19" max="20" width="15.421875" style="142" customWidth="1"/>
    <col min="21" max="21" width="26.140625" style="142" customWidth="1"/>
    <col min="22" max="16384" width="10.8515625" style="142" customWidth="1"/>
  </cols>
  <sheetData>
    <row r="1" ht="15" customHeight="1"/>
    <row r="2" spans="1:10" ht="15" customHeight="1">
      <c r="A2" s="144" t="s">
        <v>411</v>
      </c>
      <c r="B2" s="145"/>
      <c r="C2" s="145"/>
      <c r="D2" s="146"/>
      <c r="F2" s="142"/>
      <c r="G2" s="142"/>
      <c r="H2" s="142"/>
      <c r="I2" s="142"/>
      <c r="J2" s="142"/>
    </row>
    <row r="3" spans="1:10" ht="15" customHeight="1">
      <c r="A3" s="147"/>
      <c r="B3" s="148"/>
      <c r="C3" s="148"/>
      <c r="D3" s="149"/>
      <c r="F3" s="142"/>
      <c r="G3" s="142"/>
      <c r="H3" s="142"/>
      <c r="I3" s="142"/>
      <c r="J3" s="142"/>
    </row>
    <row r="4" ht="15" customHeight="1"/>
    <row r="5" spans="1:16" ht="30" customHeight="1">
      <c r="A5" s="150" t="s">
        <v>45</v>
      </c>
      <c r="B5" s="150"/>
      <c r="C5" s="150"/>
      <c r="K5" s="143"/>
      <c r="L5" s="143"/>
      <c r="M5" s="143"/>
      <c r="N5" s="143"/>
      <c r="O5" s="143"/>
      <c r="P5" s="143"/>
    </row>
    <row r="6" ht="15" customHeight="1"/>
    <row r="7" spans="1:16" ht="30" customHeight="1">
      <c r="A7" s="530" t="s">
        <v>46</v>
      </c>
      <c r="B7" s="331"/>
      <c r="C7" s="331"/>
      <c r="D7" s="331">
        <v>2013</v>
      </c>
      <c r="E7" s="331">
        <v>2014</v>
      </c>
      <c r="F7" s="331">
        <v>2015</v>
      </c>
      <c r="G7" s="331">
        <v>2016</v>
      </c>
      <c r="H7" s="331">
        <v>2017</v>
      </c>
      <c r="I7" s="331">
        <v>2018</v>
      </c>
      <c r="J7" s="331">
        <v>2019</v>
      </c>
      <c r="K7" s="331">
        <v>2020</v>
      </c>
      <c r="L7" s="331">
        <v>2021</v>
      </c>
      <c r="M7" s="331">
        <v>2022</v>
      </c>
      <c r="N7" s="331">
        <v>2023</v>
      </c>
      <c r="O7" s="331">
        <v>2024</v>
      </c>
      <c r="P7" s="332">
        <v>2025</v>
      </c>
    </row>
    <row r="8" spans="1:17" ht="15" customHeight="1">
      <c r="A8" s="348" t="s">
        <v>49</v>
      </c>
      <c r="B8" s="157"/>
      <c r="C8" s="157"/>
      <c r="D8" s="160">
        <v>19488</v>
      </c>
      <c r="E8" s="160">
        <v>19880</v>
      </c>
      <c r="F8" s="160">
        <v>20200</v>
      </c>
      <c r="G8" s="160">
        <v>20829</v>
      </c>
      <c r="H8" s="160">
        <v>21372</v>
      </c>
      <c r="I8" s="160">
        <f>H8*1.021</f>
        <v>21820.811999999998</v>
      </c>
      <c r="J8" s="160">
        <f aca="true" t="shared" si="0" ref="J8:P8">I8*1.021</f>
        <v>22279.049051999995</v>
      </c>
      <c r="K8" s="160">
        <f t="shared" si="0"/>
        <v>22746.909082091992</v>
      </c>
      <c r="L8" s="160">
        <f t="shared" si="0"/>
        <v>23224.594172815923</v>
      </c>
      <c r="M8" s="160">
        <f t="shared" si="0"/>
        <v>23712.310650445055</v>
      </c>
      <c r="N8" s="160">
        <f t="shared" si="0"/>
        <v>24210.2691741044</v>
      </c>
      <c r="O8" s="160">
        <f t="shared" si="0"/>
        <v>24718.68482676059</v>
      </c>
      <c r="P8" s="531">
        <f t="shared" si="0"/>
        <v>25237.77720812256</v>
      </c>
      <c r="Q8" s="142" t="s">
        <v>51</v>
      </c>
    </row>
    <row r="9" spans="1:17" ht="15" customHeight="1">
      <c r="A9" s="348" t="s">
        <v>52</v>
      </c>
      <c r="B9" s="157"/>
      <c r="C9" s="157"/>
      <c r="D9" s="160">
        <v>23418</v>
      </c>
      <c r="E9" s="160">
        <v>23856</v>
      </c>
      <c r="F9" s="160">
        <v>24313</v>
      </c>
      <c r="G9" s="160">
        <v>24986</v>
      </c>
      <c r="H9" s="160">
        <v>25606</v>
      </c>
      <c r="I9" s="160"/>
      <c r="J9" s="160"/>
      <c r="K9" s="160"/>
      <c r="L9" s="160"/>
      <c r="M9" s="160"/>
      <c r="N9" s="160"/>
      <c r="O9" s="160"/>
      <c r="P9" s="531"/>
      <c r="Q9" s="142"/>
    </row>
    <row r="10" spans="1:17" ht="15" customHeight="1">
      <c r="A10" s="348" t="s">
        <v>53</v>
      </c>
      <c r="B10" s="157"/>
      <c r="C10" s="157"/>
      <c r="D10" s="160"/>
      <c r="E10" s="160">
        <f>5158*11.3</f>
        <v>58285.4</v>
      </c>
      <c r="F10" s="160"/>
      <c r="G10" s="160"/>
      <c r="H10" s="160"/>
      <c r="I10" s="160"/>
      <c r="J10" s="160"/>
      <c r="K10" s="160">
        <f>5453*11.3</f>
        <v>61618.9</v>
      </c>
      <c r="L10" s="160"/>
      <c r="M10" s="160"/>
      <c r="N10" s="160"/>
      <c r="O10" s="160"/>
      <c r="P10" s="531"/>
      <c r="Q10" s="142"/>
    </row>
    <row r="11" spans="1:17" ht="15" customHeight="1">
      <c r="A11" s="348" t="s">
        <v>54</v>
      </c>
      <c r="B11" s="157"/>
      <c r="C11" s="157"/>
      <c r="D11" s="166"/>
      <c r="E11" s="166">
        <f>E10/E8</f>
        <v>2.9318611670020123</v>
      </c>
      <c r="F11" s="166"/>
      <c r="G11" s="166"/>
      <c r="H11" s="166"/>
      <c r="I11" s="166"/>
      <c r="J11" s="166"/>
      <c r="K11" s="166">
        <f>K10/K8</f>
        <v>2.7088911191239977</v>
      </c>
      <c r="L11" s="166"/>
      <c r="M11" s="166"/>
      <c r="N11" s="166"/>
      <c r="O11" s="166"/>
      <c r="P11" s="532"/>
      <c r="Q11" s="142"/>
    </row>
    <row r="12" spans="1:17" ht="15" customHeight="1">
      <c r="A12" s="348" t="s">
        <v>55</v>
      </c>
      <c r="B12" s="157"/>
      <c r="C12" s="157"/>
      <c r="D12" s="160">
        <v>534.9079463838059</v>
      </c>
      <c r="E12" s="160">
        <v>539.2497921747522</v>
      </c>
      <c r="F12" s="160">
        <v>543.1748996320798</v>
      </c>
      <c r="G12" s="160">
        <v>550.6013359894824</v>
      </c>
      <c r="H12" s="160">
        <v>560.4215751046033</v>
      </c>
      <c r="I12" s="160">
        <v>576.2288096227534</v>
      </c>
      <c r="J12" s="160">
        <v>583.8989769043484</v>
      </c>
      <c r="K12" s="160">
        <f>J12*1.013</f>
        <v>591.4896636041049</v>
      </c>
      <c r="L12" s="168">
        <v>591.4896636041049</v>
      </c>
      <c r="M12" s="168">
        <v>591.4896636041049</v>
      </c>
      <c r="N12" s="168">
        <v>591.4896636041049</v>
      </c>
      <c r="O12" s="168">
        <v>591.4896636041049</v>
      </c>
      <c r="P12" s="168">
        <v>591.4896636041049</v>
      </c>
      <c r="Q12" s="142" t="s">
        <v>351</v>
      </c>
    </row>
    <row r="13" spans="1:16" ht="15" customHeight="1">
      <c r="A13" s="348" t="s">
        <v>58</v>
      </c>
      <c r="B13" s="157"/>
      <c r="C13" s="157"/>
      <c r="D13" s="160">
        <f>278*D12</f>
        <v>148704.40909469803</v>
      </c>
      <c r="E13" s="160">
        <f aca="true" t="shared" si="1" ref="E13:P13">278*E12</f>
        <v>149911.44222458111</v>
      </c>
      <c r="F13" s="160">
        <f t="shared" si="1"/>
        <v>151002.62209771818</v>
      </c>
      <c r="G13" s="160">
        <f t="shared" si="1"/>
        <v>153067.1714050761</v>
      </c>
      <c r="H13" s="160">
        <f t="shared" si="1"/>
        <v>155797.19787907973</v>
      </c>
      <c r="I13" s="160">
        <f t="shared" si="1"/>
        <v>160191.60907512545</v>
      </c>
      <c r="J13" s="160">
        <f t="shared" si="1"/>
        <v>162323.91557940884</v>
      </c>
      <c r="K13" s="160">
        <f t="shared" si="1"/>
        <v>164434.12648194114</v>
      </c>
      <c r="L13" s="160">
        <f t="shared" si="1"/>
        <v>164434.12648194114</v>
      </c>
      <c r="M13" s="160">
        <f t="shared" si="1"/>
        <v>164434.12648194114</v>
      </c>
      <c r="N13" s="160">
        <f t="shared" si="1"/>
        <v>164434.12648194114</v>
      </c>
      <c r="O13" s="160">
        <f t="shared" si="1"/>
        <v>164434.12648194114</v>
      </c>
      <c r="P13" s="531">
        <f t="shared" si="1"/>
        <v>164434.12648194114</v>
      </c>
    </row>
    <row r="14" spans="1:17" ht="15" customHeight="1">
      <c r="A14" s="348" t="s">
        <v>59</v>
      </c>
      <c r="B14" s="157"/>
      <c r="C14" s="157"/>
      <c r="D14" s="160">
        <v>9214</v>
      </c>
      <c r="E14" s="160">
        <v>9315</v>
      </c>
      <c r="F14" s="160">
        <v>9414</v>
      </c>
      <c r="G14" s="160">
        <v>9534</v>
      </c>
      <c r="H14" s="160">
        <v>9717</v>
      </c>
      <c r="I14" s="160">
        <f>H14*1.013</f>
        <v>9843.321</v>
      </c>
      <c r="J14" s="160">
        <f aca="true" t="shared" si="2" ref="J14:P14">I14*1.013</f>
        <v>9971.284172999998</v>
      </c>
      <c r="K14" s="160">
        <f t="shared" si="2"/>
        <v>10100.910867248997</v>
      </c>
      <c r="L14" s="160">
        <f t="shared" si="2"/>
        <v>10232.222708523232</v>
      </c>
      <c r="M14" s="160">
        <f t="shared" si="2"/>
        <v>10365.241603734032</v>
      </c>
      <c r="N14" s="160">
        <f t="shared" si="2"/>
        <v>10499.989744582574</v>
      </c>
      <c r="O14" s="160">
        <f t="shared" si="2"/>
        <v>10636.489611262146</v>
      </c>
      <c r="P14" s="531">
        <f t="shared" si="2"/>
        <v>10774.763976208553</v>
      </c>
      <c r="Q14" s="142" t="s">
        <v>60</v>
      </c>
    </row>
    <row r="15" spans="1:16" ht="15" customHeight="1">
      <c r="A15" s="348" t="s">
        <v>61</v>
      </c>
      <c r="B15" s="157"/>
      <c r="C15" s="157"/>
      <c r="D15" s="160">
        <f>11.63*D14</f>
        <v>107158.82</v>
      </c>
      <c r="E15" s="160">
        <f aca="true" t="shared" si="3" ref="E15:P15">11.63*E14</f>
        <v>108333.45000000001</v>
      </c>
      <c r="F15" s="160">
        <f t="shared" si="3"/>
        <v>109484.82</v>
      </c>
      <c r="G15" s="160">
        <f t="shared" si="3"/>
        <v>110880.42000000001</v>
      </c>
      <c r="H15" s="160">
        <f t="shared" si="3"/>
        <v>113008.71</v>
      </c>
      <c r="I15" s="160">
        <f t="shared" si="3"/>
        <v>114477.82323000001</v>
      </c>
      <c r="J15" s="160">
        <f t="shared" si="3"/>
        <v>115966.03493198998</v>
      </c>
      <c r="K15" s="160">
        <f t="shared" si="3"/>
        <v>117473.59338610584</v>
      </c>
      <c r="L15" s="160">
        <f t="shared" si="3"/>
        <v>119000.7501001252</v>
      </c>
      <c r="M15" s="160">
        <f t="shared" si="3"/>
        <v>120547.7598514268</v>
      </c>
      <c r="N15" s="160">
        <f t="shared" si="3"/>
        <v>122114.88072949534</v>
      </c>
      <c r="O15" s="160">
        <f t="shared" si="3"/>
        <v>123702.37417897877</v>
      </c>
      <c r="P15" s="531">
        <f t="shared" si="3"/>
        <v>125310.50504330547</v>
      </c>
    </row>
    <row r="16" spans="1:17" ht="15" customHeight="1">
      <c r="A16" s="533" t="s">
        <v>62</v>
      </c>
      <c r="B16" s="534"/>
      <c r="C16" s="534"/>
      <c r="D16" s="334">
        <f>E16/1.01</f>
        <v>48086.21860034744</v>
      </c>
      <c r="E16" s="334">
        <f>F16/1.01</f>
        <v>48567.08078635092</v>
      </c>
      <c r="F16" s="334">
        <f>G16/1.015</f>
        <v>49052.75159421443</v>
      </c>
      <c r="G16" s="334">
        <f>H16/1.02</f>
        <v>49788.54286812764</v>
      </c>
      <c r="H16" s="334">
        <f>I16/1.02</f>
        <v>50784.313725490196</v>
      </c>
      <c r="I16" s="333">
        <v>51800</v>
      </c>
      <c r="J16" s="334">
        <f>I16*1.017</f>
        <v>52680.6</v>
      </c>
      <c r="K16" s="333">
        <v>51000</v>
      </c>
      <c r="L16" s="535">
        <v>51000</v>
      </c>
      <c r="M16" s="535">
        <v>50000</v>
      </c>
      <c r="N16" s="535">
        <v>48000</v>
      </c>
      <c r="O16" s="535">
        <v>46000</v>
      </c>
      <c r="P16" s="536">
        <v>44000</v>
      </c>
      <c r="Q16" s="142" t="s">
        <v>63</v>
      </c>
    </row>
    <row r="17" spans="1:17" ht="15" customHeight="1">
      <c r="A17" s="157" t="s">
        <v>64</v>
      </c>
      <c r="B17" s="157"/>
      <c r="C17" s="157"/>
      <c r="D17" s="160">
        <v>32795.55410647285</v>
      </c>
      <c r="E17" s="160">
        <v>32804.71869141038</v>
      </c>
      <c r="F17" s="160">
        <v>32787.19767306459</v>
      </c>
      <c r="G17" s="160">
        <v>32936.06603613734</v>
      </c>
      <c r="H17" s="160">
        <v>33279.49133386669</v>
      </c>
      <c r="I17" s="171">
        <v>34007.8910352292</v>
      </c>
      <c r="J17" s="160">
        <v>34169.00078208068</v>
      </c>
      <c r="K17" s="171">
        <f>J17*1.01</f>
        <v>34510.690789901484</v>
      </c>
      <c r="L17" s="168">
        <f>K17</f>
        <v>34510.690789901484</v>
      </c>
      <c r="M17" s="168">
        <f>L17*0.98</f>
        <v>33820.476974103454</v>
      </c>
      <c r="N17" s="168">
        <f>M17*0.96</f>
        <v>32467.657895139317</v>
      </c>
      <c r="O17" s="168">
        <f aca="true" t="shared" si="4" ref="O17:P17">N17*0.96</f>
        <v>31168.95157933374</v>
      </c>
      <c r="P17" s="168">
        <f t="shared" si="4"/>
        <v>29922.19351616039</v>
      </c>
      <c r="Q17" s="142"/>
    </row>
    <row r="18" spans="1:17" ht="15" customHeight="1">
      <c r="A18" s="157" t="s">
        <v>66</v>
      </c>
      <c r="B18" s="157"/>
      <c r="C18" s="157"/>
      <c r="D18" s="173">
        <f>D17/D13</f>
        <v>0.2205419079779132</v>
      </c>
      <c r="E18" s="173">
        <f aca="true" t="shared" si="5" ref="E18:P18">E17/E13</f>
        <v>0.218827317012039</v>
      </c>
      <c r="F18" s="173">
        <f t="shared" si="5"/>
        <v>0.2171299889868604</v>
      </c>
      <c r="G18" s="173">
        <f t="shared" si="5"/>
        <v>0.21517393791105943</v>
      </c>
      <c r="H18" s="173">
        <f t="shared" si="5"/>
        <v>0.2136077656524747</v>
      </c>
      <c r="I18" s="174">
        <f t="shared" si="5"/>
        <v>0.2122950835663336</v>
      </c>
      <c r="J18" s="173">
        <f t="shared" si="5"/>
        <v>0.21049886986840954</v>
      </c>
      <c r="K18" s="174">
        <f t="shared" si="5"/>
        <v>0.2098754773613955</v>
      </c>
      <c r="L18" s="175">
        <f t="shared" si="5"/>
        <v>0.2098754773613955</v>
      </c>
      <c r="M18" s="175">
        <f t="shared" si="5"/>
        <v>0.20567796781416758</v>
      </c>
      <c r="N18" s="175">
        <f t="shared" si="5"/>
        <v>0.1974508491016009</v>
      </c>
      <c r="O18" s="175">
        <f t="shared" si="5"/>
        <v>0.18955281513753686</v>
      </c>
      <c r="P18" s="175">
        <f t="shared" si="5"/>
        <v>0.18197070253203537</v>
      </c>
      <c r="Q18" s="142"/>
    </row>
    <row r="19" spans="1:16384" ht="15" customHeight="1">
      <c r="A19" s="157" t="s">
        <v>67</v>
      </c>
      <c r="B19" s="157"/>
      <c r="C19" s="157"/>
      <c r="D19" s="173">
        <v>0.62</v>
      </c>
      <c r="E19" s="173">
        <v>0.61</v>
      </c>
      <c r="F19" s="173">
        <v>0.61</v>
      </c>
      <c r="G19" s="173">
        <v>0.61</v>
      </c>
      <c r="H19" s="173">
        <v>0.6</v>
      </c>
      <c r="I19" s="174">
        <v>0.6</v>
      </c>
      <c r="J19" s="173">
        <v>0.6</v>
      </c>
      <c r="K19" s="174">
        <v>0.59</v>
      </c>
      <c r="L19" s="175">
        <v>0.59</v>
      </c>
      <c r="M19" s="175">
        <v>0.58</v>
      </c>
      <c r="N19" s="175">
        <v>0.57</v>
      </c>
      <c r="O19" s="175">
        <v>0.55</v>
      </c>
      <c r="P19" s="175">
        <v>0.53</v>
      </c>
      <c r="Q19" s="157" t="s">
        <v>67</v>
      </c>
      <c r="R19" s="157"/>
      <c r="S19" s="157"/>
      <c r="T19" s="173">
        <v>0.62</v>
      </c>
      <c r="U19" s="173">
        <v>0.61</v>
      </c>
      <c r="V19" s="173">
        <v>0.61</v>
      </c>
      <c r="W19" s="173">
        <v>0.61</v>
      </c>
      <c r="X19" s="173">
        <v>0.6</v>
      </c>
      <c r="Y19" s="174">
        <v>0.6</v>
      </c>
      <c r="Z19" s="173">
        <v>0.6</v>
      </c>
      <c r="AA19" s="174">
        <v>0.59</v>
      </c>
      <c r="AB19" s="175">
        <v>0.59</v>
      </c>
      <c r="AC19" s="175">
        <v>0.58</v>
      </c>
      <c r="AD19" s="175">
        <v>0.57</v>
      </c>
      <c r="AE19" s="175">
        <v>0.55</v>
      </c>
      <c r="AF19" s="175">
        <v>0.53</v>
      </c>
      <c r="AG19" s="157" t="s">
        <v>67</v>
      </c>
      <c r="AH19" s="157"/>
      <c r="AI19" s="157"/>
      <c r="AJ19" s="173">
        <v>0.62</v>
      </c>
      <c r="AK19" s="173">
        <v>0.61</v>
      </c>
      <c r="AL19" s="173">
        <v>0.61</v>
      </c>
      <c r="AM19" s="173">
        <v>0.61</v>
      </c>
      <c r="AN19" s="173">
        <v>0.6</v>
      </c>
      <c r="AO19" s="174">
        <v>0.6</v>
      </c>
      <c r="AP19" s="173">
        <v>0.6</v>
      </c>
      <c r="AQ19" s="174">
        <v>0.59</v>
      </c>
      <c r="AR19" s="175">
        <v>0.59</v>
      </c>
      <c r="AS19" s="175">
        <v>0.58</v>
      </c>
      <c r="AT19" s="175">
        <v>0.57</v>
      </c>
      <c r="AU19" s="175">
        <v>0.55</v>
      </c>
      <c r="AV19" s="175">
        <v>0.53</v>
      </c>
      <c r="AW19" s="157" t="s">
        <v>67</v>
      </c>
      <c r="AX19" s="157"/>
      <c r="AY19" s="157"/>
      <c r="AZ19" s="173">
        <v>0.62</v>
      </c>
      <c r="BA19" s="173">
        <v>0.61</v>
      </c>
      <c r="BB19" s="173">
        <v>0.61</v>
      </c>
      <c r="BC19" s="173">
        <v>0.61</v>
      </c>
      <c r="BD19" s="173">
        <v>0.6</v>
      </c>
      <c r="BE19" s="174">
        <v>0.6</v>
      </c>
      <c r="BF19" s="173">
        <v>0.6</v>
      </c>
      <c r="BG19" s="174">
        <v>0.59</v>
      </c>
      <c r="BH19" s="175">
        <v>0.59</v>
      </c>
      <c r="BI19" s="175">
        <v>0.58</v>
      </c>
      <c r="BJ19" s="175">
        <v>0.57</v>
      </c>
      <c r="BK19" s="175">
        <v>0.55</v>
      </c>
      <c r="BL19" s="175">
        <v>0.53</v>
      </c>
      <c r="BM19" s="157" t="s">
        <v>67</v>
      </c>
      <c r="BN19" s="157"/>
      <c r="BO19" s="157"/>
      <c r="BP19" s="173">
        <v>0.62</v>
      </c>
      <c r="BQ19" s="173">
        <v>0.61</v>
      </c>
      <c r="BR19" s="173">
        <v>0.61</v>
      </c>
      <c r="BS19" s="173">
        <v>0.61</v>
      </c>
      <c r="BT19" s="173">
        <v>0.6</v>
      </c>
      <c r="BU19" s="174">
        <v>0.6</v>
      </c>
      <c r="BV19" s="173">
        <v>0.6</v>
      </c>
      <c r="BW19" s="174">
        <v>0.59</v>
      </c>
      <c r="BX19" s="175">
        <v>0.59</v>
      </c>
      <c r="BY19" s="175">
        <v>0.58</v>
      </c>
      <c r="BZ19" s="175">
        <v>0.57</v>
      </c>
      <c r="CA19" s="175">
        <v>0.55</v>
      </c>
      <c r="CB19" s="175">
        <v>0.53</v>
      </c>
      <c r="CC19" s="157" t="s">
        <v>67</v>
      </c>
      <c r="CD19" s="157"/>
      <c r="CE19" s="157"/>
      <c r="CF19" s="173">
        <v>0.62</v>
      </c>
      <c r="CG19" s="173">
        <v>0.61</v>
      </c>
      <c r="CH19" s="173">
        <v>0.61</v>
      </c>
      <c r="CI19" s="173">
        <v>0.61</v>
      </c>
      <c r="CJ19" s="173">
        <v>0.6</v>
      </c>
      <c r="CK19" s="174">
        <v>0.6</v>
      </c>
      <c r="CL19" s="173">
        <v>0.6</v>
      </c>
      <c r="CM19" s="174">
        <v>0.59</v>
      </c>
      <c r="CN19" s="175">
        <v>0.59</v>
      </c>
      <c r="CO19" s="175">
        <v>0.58</v>
      </c>
      <c r="CP19" s="175">
        <v>0.57</v>
      </c>
      <c r="CQ19" s="175">
        <v>0.55</v>
      </c>
      <c r="CR19" s="175">
        <v>0.53</v>
      </c>
      <c r="CS19" s="157" t="s">
        <v>67</v>
      </c>
      <c r="CT19" s="157"/>
      <c r="CU19" s="157"/>
      <c r="CV19" s="173">
        <v>0.62</v>
      </c>
      <c r="CW19" s="173">
        <v>0.61</v>
      </c>
      <c r="CX19" s="173">
        <v>0.61</v>
      </c>
      <c r="CY19" s="173">
        <v>0.61</v>
      </c>
      <c r="CZ19" s="173">
        <v>0.6</v>
      </c>
      <c r="DA19" s="174">
        <v>0.6</v>
      </c>
      <c r="DB19" s="173">
        <v>0.6</v>
      </c>
      <c r="DC19" s="174">
        <v>0.59</v>
      </c>
      <c r="DD19" s="175">
        <v>0.59</v>
      </c>
      <c r="DE19" s="175">
        <v>0.58</v>
      </c>
      <c r="DF19" s="175">
        <v>0.57</v>
      </c>
      <c r="DG19" s="175">
        <v>0.55</v>
      </c>
      <c r="DH19" s="175">
        <v>0.53</v>
      </c>
      <c r="DI19" s="157" t="s">
        <v>67</v>
      </c>
      <c r="DJ19" s="157"/>
      <c r="DK19" s="157"/>
      <c r="DL19" s="173">
        <v>0.62</v>
      </c>
      <c r="DM19" s="173">
        <v>0.61</v>
      </c>
      <c r="DN19" s="173">
        <v>0.61</v>
      </c>
      <c r="DO19" s="173">
        <v>0.61</v>
      </c>
      <c r="DP19" s="173">
        <v>0.6</v>
      </c>
      <c r="DQ19" s="174">
        <v>0.6</v>
      </c>
      <c r="DR19" s="173">
        <v>0.6</v>
      </c>
      <c r="DS19" s="174">
        <v>0.59</v>
      </c>
      <c r="DT19" s="175">
        <v>0.59</v>
      </c>
      <c r="DU19" s="175">
        <v>0.58</v>
      </c>
      <c r="DV19" s="175">
        <v>0.57</v>
      </c>
      <c r="DW19" s="175">
        <v>0.55</v>
      </c>
      <c r="DX19" s="175">
        <v>0.53</v>
      </c>
      <c r="DY19" s="157" t="s">
        <v>67</v>
      </c>
      <c r="DZ19" s="157"/>
      <c r="EA19" s="157"/>
      <c r="EB19" s="173">
        <v>0.62</v>
      </c>
      <c r="EC19" s="173">
        <v>0.61</v>
      </c>
      <c r="ED19" s="173">
        <v>0.61</v>
      </c>
      <c r="EE19" s="173">
        <v>0.61</v>
      </c>
      <c r="EF19" s="173">
        <v>0.6</v>
      </c>
      <c r="EG19" s="174">
        <v>0.6</v>
      </c>
      <c r="EH19" s="173">
        <v>0.6</v>
      </c>
      <c r="EI19" s="174">
        <v>0.59</v>
      </c>
      <c r="EJ19" s="175">
        <v>0.59</v>
      </c>
      <c r="EK19" s="175">
        <v>0.58</v>
      </c>
      <c r="EL19" s="175">
        <v>0.57</v>
      </c>
      <c r="EM19" s="175">
        <v>0.55</v>
      </c>
      <c r="EN19" s="175">
        <v>0.53</v>
      </c>
      <c r="EO19" s="157" t="s">
        <v>67</v>
      </c>
      <c r="EP19" s="157"/>
      <c r="EQ19" s="157"/>
      <c r="ER19" s="173">
        <v>0.62</v>
      </c>
      <c r="ES19" s="173">
        <v>0.61</v>
      </c>
      <c r="ET19" s="173">
        <v>0.61</v>
      </c>
      <c r="EU19" s="173">
        <v>0.61</v>
      </c>
      <c r="EV19" s="173">
        <v>0.6</v>
      </c>
      <c r="EW19" s="174">
        <v>0.6</v>
      </c>
      <c r="EX19" s="173">
        <v>0.6</v>
      </c>
      <c r="EY19" s="174">
        <v>0.59</v>
      </c>
      <c r="EZ19" s="175">
        <v>0.59</v>
      </c>
      <c r="FA19" s="175">
        <v>0.58</v>
      </c>
      <c r="FB19" s="175">
        <v>0.57</v>
      </c>
      <c r="FC19" s="175">
        <v>0.55</v>
      </c>
      <c r="FD19" s="175">
        <v>0.53</v>
      </c>
      <c r="FE19" s="157" t="s">
        <v>67</v>
      </c>
      <c r="FF19" s="157"/>
      <c r="FG19" s="157"/>
      <c r="FH19" s="173">
        <v>0.62</v>
      </c>
      <c r="FI19" s="173">
        <v>0.61</v>
      </c>
      <c r="FJ19" s="173">
        <v>0.61</v>
      </c>
      <c r="FK19" s="173">
        <v>0.61</v>
      </c>
      <c r="FL19" s="173">
        <v>0.6</v>
      </c>
      <c r="FM19" s="174">
        <v>0.6</v>
      </c>
      <c r="FN19" s="173">
        <v>0.6</v>
      </c>
      <c r="FO19" s="174">
        <v>0.59</v>
      </c>
      <c r="FP19" s="175">
        <v>0.59</v>
      </c>
      <c r="FQ19" s="175">
        <v>0.58</v>
      </c>
      <c r="FR19" s="175">
        <v>0.57</v>
      </c>
      <c r="FS19" s="175">
        <v>0.55</v>
      </c>
      <c r="FT19" s="175">
        <v>0.53</v>
      </c>
      <c r="FU19" s="157" t="s">
        <v>67</v>
      </c>
      <c r="FV19" s="157"/>
      <c r="FW19" s="157"/>
      <c r="FX19" s="173">
        <v>0.62</v>
      </c>
      <c r="FY19" s="173">
        <v>0.61</v>
      </c>
      <c r="FZ19" s="173">
        <v>0.61</v>
      </c>
      <c r="GA19" s="173">
        <v>0.61</v>
      </c>
      <c r="GB19" s="173">
        <v>0.6</v>
      </c>
      <c r="GC19" s="174">
        <v>0.6</v>
      </c>
      <c r="GD19" s="173">
        <v>0.6</v>
      </c>
      <c r="GE19" s="174">
        <v>0.59</v>
      </c>
      <c r="GF19" s="175">
        <v>0.59</v>
      </c>
      <c r="GG19" s="175">
        <v>0.58</v>
      </c>
      <c r="GH19" s="175">
        <v>0.57</v>
      </c>
      <c r="GI19" s="175">
        <v>0.55</v>
      </c>
      <c r="GJ19" s="175">
        <v>0.53</v>
      </c>
      <c r="GK19" s="157" t="s">
        <v>67</v>
      </c>
      <c r="GL19" s="157"/>
      <c r="GM19" s="157"/>
      <c r="GN19" s="173">
        <v>0.62</v>
      </c>
      <c r="GO19" s="173">
        <v>0.61</v>
      </c>
      <c r="GP19" s="173">
        <v>0.61</v>
      </c>
      <c r="GQ19" s="173">
        <v>0.61</v>
      </c>
      <c r="GR19" s="173">
        <v>0.6</v>
      </c>
      <c r="GS19" s="174">
        <v>0.6</v>
      </c>
      <c r="GT19" s="173">
        <v>0.6</v>
      </c>
      <c r="GU19" s="174">
        <v>0.59</v>
      </c>
      <c r="GV19" s="175">
        <v>0.59</v>
      </c>
      <c r="GW19" s="175">
        <v>0.58</v>
      </c>
      <c r="GX19" s="175">
        <v>0.57</v>
      </c>
      <c r="GY19" s="175">
        <v>0.55</v>
      </c>
      <c r="GZ19" s="175">
        <v>0.53</v>
      </c>
      <c r="HA19" s="157" t="s">
        <v>67</v>
      </c>
      <c r="HB19" s="157"/>
      <c r="HC19" s="157"/>
      <c r="HD19" s="173">
        <v>0.62</v>
      </c>
      <c r="HE19" s="173">
        <v>0.61</v>
      </c>
      <c r="HF19" s="173">
        <v>0.61</v>
      </c>
      <c r="HG19" s="173">
        <v>0.61</v>
      </c>
      <c r="HH19" s="173">
        <v>0.6</v>
      </c>
      <c r="HI19" s="174">
        <v>0.6</v>
      </c>
      <c r="HJ19" s="173">
        <v>0.6</v>
      </c>
      <c r="HK19" s="174">
        <v>0.59</v>
      </c>
      <c r="HL19" s="175">
        <v>0.59</v>
      </c>
      <c r="HM19" s="175">
        <v>0.58</v>
      </c>
      <c r="HN19" s="175">
        <v>0.57</v>
      </c>
      <c r="HO19" s="175">
        <v>0.55</v>
      </c>
      <c r="HP19" s="175">
        <v>0.53</v>
      </c>
      <c r="HQ19" s="157" t="s">
        <v>67</v>
      </c>
      <c r="HR19" s="157"/>
      <c r="HS19" s="157"/>
      <c r="HT19" s="173">
        <v>0.62</v>
      </c>
      <c r="HU19" s="173">
        <v>0.61</v>
      </c>
      <c r="HV19" s="173">
        <v>0.61</v>
      </c>
      <c r="HW19" s="173">
        <v>0.61</v>
      </c>
      <c r="HX19" s="173">
        <v>0.6</v>
      </c>
      <c r="HY19" s="174">
        <v>0.6</v>
      </c>
      <c r="HZ19" s="173">
        <v>0.6</v>
      </c>
      <c r="IA19" s="174">
        <v>0.59</v>
      </c>
      <c r="IB19" s="175">
        <v>0.59</v>
      </c>
      <c r="IC19" s="175">
        <v>0.58</v>
      </c>
      <c r="ID19" s="175">
        <v>0.57</v>
      </c>
      <c r="IE19" s="175">
        <v>0.55</v>
      </c>
      <c r="IF19" s="175">
        <v>0.53</v>
      </c>
      <c r="IG19" s="157" t="s">
        <v>67</v>
      </c>
      <c r="IH19" s="157"/>
      <c r="II19" s="157"/>
      <c r="IJ19" s="173">
        <v>0.62</v>
      </c>
      <c r="IK19" s="173">
        <v>0.61</v>
      </c>
      <c r="IL19" s="173">
        <v>0.61</v>
      </c>
      <c r="IM19" s="173">
        <v>0.61</v>
      </c>
      <c r="IN19" s="173">
        <v>0.6</v>
      </c>
      <c r="IO19" s="174">
        <v>0.6</v>
      </c>
      <c r="IP19" s="173">
        <v>0.6</v>
      </c>
      <c r="IQ19" s="174">
        <v>0.59</v>
      </c>
      <c r="IR19" s="175">
        <v>0.59</v>
      </c>
      <c r="IS19" s="175">
        <v>0.58</v>
      </c>
      <c r="IT19" s="175">
        <v>0.57</v>
      </c>
      <c r="IU19" s="175">
        <v>0.55</v>
      </c>
      <c r="IV19" s="175">
        <v>0.53</v>
      </c>
      <c r="IW19" s="157" t="s">
        <v>67</v>
      </c>
      <c r="IX19" s="157"/>
      <c r="IY19" s="157"/>
      <c r="IZ19" s="173">
        <v>0.62</v>
      </c>
      <c r="JA19" s="173">
        <v>0.61</v>
      </c>
      <c r="JB19" s="173">
        <v>0.61</v>
      </c>
      <c r="JC19" s="173">
        <v>0.61</v>
      </c>
      <c r="JD19" s="173">
        <v>0.6</v>
      </c>
      <c r="JE19" s="174">
        <v>0.6</v>
      </c>
      <c r="JF19" s="173">
        <v>0.6</v>
      </c>
      <c r="JG19" s="174">
        <v>0.59</v>
      </c>
      <c r="JH19" s="175">
        <v>0.59</v>
      </c>
      <c r="JI19" s="175">
        <v>0.58</v>
      </c>
      <c r="JJ19" s="175">
        <v>0.57</v>
      </c>
      <c r="JK19" s="175">
        <v>0.55</v>
      </c>
      <c r="JL19" s="175">
        <v>0.53</v>
      </c>
      <c r="JM19" s="157" t="s">
        <v>67</v>
      </c>
      <c r="JN19" s="157"/>
      <c r="JO19" s="157"/>
      <c r="JP19" s="173">
        <v>0.62</v>
      </c>
      <c r="JQ19" s="173">
        <v>0.61</v>
      </c>
      <c r="JR19" s="173">
        <v>0.61</v>
      </c>
      <c r="JS19" s="173">
        <v>0.61</v>
      </c>
      <c r="JT19" s="173">
        <v>0.6</v>
      </c>
      <c r="JU19" s="174">
        <v>0.6</v>
      </c>
      <c r="JV19" s="173">
        <v>0.6</v>
      </c>
      <c r="JW19" s="174">
        <v>0.59</v>
      </c>
      <c r="JX19" s="175">
        <v>0.59</v>
      </c>
      <c r="JY19" s="175">
        <v>0.58</v>
      </c>
      <c r="JZ19" s="175">
        <v>0.57</v>
      </c>
      <c r="KA19" s="175">
        <v>0.55</v>
      </c>
      <c r="KB19" s="175">
        <v>0.53</v>
      </c>
      <c r="KC19" s="157" t="s">
        <v>67</v>
      </c>
      <c r="KD19" s="157"/>
      <c r="KE19" s="157"/>
      <c r="KF19" s="173">
        <v>0.62</v>
      </c>
      <c r="KG19" s="173">
        <v>0.61</v>
      </c>
      <c r="KH19" s="173">
        <v>0.61</v>
      </c>
      <c r="KI19" s="173">
        <v>0.61</v>
      </c>
      <c r="KJ19" s="173">
        <v>0.6</v>
      </c>
      <c r="KK19" s="174">
        <v>0.6</v>
      </c>
      <c r="KL19" s="173">
        <v>0.6</v>
      </c>
      <c r="KM19" s="174">
        <v>0.59</v>
      </c>
      <c r="KN19" s="175">
        <v>0.59</v>
      </c>
      <c r="KO19" s="175">
        <v>0.58</v>
      </c>
      <c r="KP19" s="175">
        <v>0.57</v>
      </c>
      <c r="KQ19" s="175">
        <v>0.55</v>
      </c>
      <c r="KR19" s="175">
        <v>0.53</v>
      </c>
      <c r="KS19" s="157" t="s">
        <v>67</v>
      </c>
      <c r="KT19" s="157"/>
      <c r="KU19" s="157"/>
      <c r="KV19" s="173">
        <v>0.62</v>
      </c>
      <c r="KW19" s="173">
        <v>0.61</v>
      </c>
      <c r="KX19" s="173">
        <v>0.61</v>
      </c>
      <c r="KY19" s="173">
        <v>0.61</v>
      </c>
      <c r="KZ19" s="173">
        <v>0.6</v>
      </c>
      <c r="LA19" s="174">
        <v>0.6</v>
      </c>
      <c r="LB19" s="173">
        <v>0.6</v>
      </c>
      <c r="LC19" s="174">
        <v>0.59</v>
      </c>
      <c r="LD19" s="175">
        <v>0.59</v>
      </c>
      <c r="LE19" s="175">
        <v>0.58</v>
      </c>
      <c r="LF19" s="175">
        <v>0.57</v>
      </c>
      <c r="LG19" s="175">
        <v>0.55</v>
      </c>
      <c r="LH19" s="175">
        <v>0.53</v>
      </c>
      <c r="LI19" s="157" t="s">
        <v>67</v>
      </c>
      <c r="LJ19" s="157"/>
      <c r="LK19" s="157"/>
      <c r="LL19" s="173">
        <v>0.62</v>
      </c>
      <c r="LM19" s="173">
        <v>0.61</v>
      </c>
      <c r="LN19" s="173">
        <v>0.61</v>
      </c>
      <c r="LO19" s="173">
        <v>0.61</v>
      </c>
      <c r="LP19" s="173">
        <v>0.6</v>
      </c>
      <c r="LQ19" s="174">
        <v>0.6</v>
      </c>
      <c r="LR19" s="173">
        <v>0.6</v>
      </c>
      <c r="LS19" s="174">
        <v>0.59</v>
      </c>
      <c r="LT19" s="175">
        <v>0.59</v>
      </c>
      <c r="LU19" s="175">
        <v>0.58</v>
      </c>
      <c r="LV19" s="175">
        <v>0.57</v>
      </c>
      <c r="LW19" s="175">
        <v>0.55</v>
      </c>
      <c r="LX19" s="175">
        <v>0.53</v>
      </c>
      <c r="LY19" s="157" t="s">
        <v>67</v>
      </c>
      <c r="LZ19" s="157"/>
      <c r="MA19" s="157"/>
      <c r="MB19" s="173">
        <v>0.62</v>
      </c>
      <c r="MC19" s="173">
        <v>0.61</v>
      </c>
      <c r="MD19" s="173">
        <v>0.61</v>
      </c>
      <c r="ME19" s="173">
        <v>0.61</v>
      </c>
      <c r="MF19" s="173">
        <v>0.6</v>
      </c>
      <c r="MG19" s="174">
        <v>0.6</v>
      </c>
      <c r="MH19" s="173">
        <v>0.6</v>
      </c>
      <c r="MI19" s="174">
        <v>0.59</v>
      </c>
      <c r="MJ19" s="175">
        <v>0.59</v>
      </c>
      <c r="MK19" s="175">
        <v>0.58</v>
      </c>
      <c r="ML19" s="175">
        <v>0.57</v>
      </c>
      <c r="MM19" s="175">
        <v>0.55</v>
      </c>
      <c r="MN19" s="175">
        <v>0.53</v>
      </c>
      <c r="MO19" s="157" t="s">
        <v>67</v>
      </c>
      <c r="MP19" s="157"/>
      <c r="MQ19" s="157"/>
      <c r="MR19" s="173">
        <v>0.62</v>
      </c>
      <c r="MS19" s="173">
        <v>0.61</v>
      </c>
      <c r="MT19" s="173">
        <v>0.61</v>
      </c>
      <c r="MU19" s="173">
        <v>0.61</v>
      </c>
      <c r="MV19" s="173">
        <v>0.6</v>
      </c>
      <c r="MW19" s="174">
        <v>0.6</v>
      </c>
      <c r="MX19" s="173">
        <v>0.6</v>
      </c>
      <c r="MY19" s="174">
        <v>0.59</v>
      </c>
      <c r="MZ19" s="175">
        <v>0.59</v>
      </c>
      <c r="NA19" s="175">
        <v>0.58</v>
      </c>
      <c r="NB19" s="175">
        <v>0.57</v>
      </c>
      <c r="NC19" s="175">
        <v>0.55</v>
      </c>
      <c r="ND19" s="175">
        <v>0.53</v>
      </c>
      <c r="NE19" s="157" t="s">
        <v>67</v>
      </c>
      <c r="NF19" s="157"/>
      <c r="NG19" s="157"/>
      <c r="NH19" s="173">
        <v>0.62</v>
      </c>
      <c r="NI19" s="173">
        <v>0.61</v>
      </c>
      <c r="NJ19" s="173">
        <v>0.61</v>
      </c>
      <c r="NK19" s="173">
        <v>0.61</v>
      </c>
      <c r="NL19" s="173">
        <v>0.6</v>
      </c>
      <c r="NM19" s="174">
        <v>0.6</v>
      </c>
      <c r="NN19" s="173">
        <v>0.6</v>
      </c>
      <c r="NO19" s="174">
        <v>0.59</v>
      </c>
      <c r="NP19" s="175">
        <v>0.59</v>
      </c>
      <c r="NQ19" s="175">
        <v>0.58</v>
      </c>
      <c r="NR19" s="175">
        <v>0.57</v>
      </c>
      <c r="NS19" s="175">
        <v>0.55</v>
      </c>
      <c r="NT19" s="175">
        <v>0.53</v>
      </c>
      <c r="NU19" s="157" t="s">
        <v>67</v>
      </c>
      <c r="NV19" s="157"/>
      <c r="NW19" s="157"/>
      <c r="NX19" s="173">
        <v>0.62</v>
      </c>
      <c r="NY19" s="173">
        <v>0.61</v>
      </c>
      <c r="NZ19" s="173">
        <v>0.61</v>
      </c>
      <c r="OA19" s="173">
        <v>0.61</v>
      </c>
      <c r="OB19" s="173">
        <v>0.6</v>
      </c>
      <c r="OC19" s="174">
        <v>0.6</v>
      </c>
      <c r="OD19" s="173">
        <v>0.6</v>
      </c>
      <c r="OE19" s="174">
        <v>0.59</v>
      </c>
      <c r="OF19" s="175">
        <v>0.59</v>
      </c>
      <c r="OG19" s="175">
        <v>0.58</v>
      </c>
      <c r="OH19" s="175">
        <v>0.57</v>
      </c>
      <c r="OI19" s="175">
        <v>0.55</v>
      </c>
      <c r="OJ19" s="175">
        <v>0.53</v>
      </c>
      <c r="OK19" s="157" t="s">
        <v>67</v>
      </c>
      <c r="OL19" s="157"/>
      <c r="OM19" s="157"/>
      <c r="ON19" s="173">
        <v>0.62</v>
      </c>
      <c r="OO19" s="173">
        <v>0.61</v>
      </c>
      <c r="OP19" s="173">
        <v>0.61</v>
      </c>
      <c r="OQ19" s="173">
        <v>0.61</v>
      </c>
      <c r="OR19" s="173">
        <v>0.6</v>
      </c>
      <c r="OS19" s="174">
        <v>0.6</v>
      </c>
      <c r="OT19" s="173">
        <v>0.6</v>
      </c>
      <c r="OU19" s="174">
        <v>0.59</v>
      </c>
      <c r="OV19" s="175">
        <v>0.59</v>
      </c>
      <c r="OW19" s="175">
        <v>0.58</v>
      </c>
      <c r="OX19" s="175">
        <v>0.57</v>
      </c>
      <c r="OY19" s="175">
        <v>0.55</v>
      </c>
      <c r="OZ19" s="175">
        <v>0.53</v>
      </c>
      <c r="PA19" s="157" t="s">
        <v>67</v>
      </c>
      <c r="PB19" s="157"/>
      <c r="PC19" s="157"/>
      <c r="PD19" s="173">
        <v>0.62</v>
      </c>
      <c r="PE19" s="173">
        <v>0.61</v>
      </c>
      <c r="PF19" s="173">
        <v>0.61</v>
      </c>
      <c r="PG19" s="173">
        <v>0.61</v>
      </c>
      <c r="PH19" s="173">
        <v>0.6</v>
      </c>
      <c r="PI19" s="174">
        <v>0.6</v>
      </c>
      <c r="PJ19" s="173">
        <v>0.6</v>
      </c>
      <c r="PK19" s="174">
        <v>0.59</v>
      </c>
      <c r="PL19" s="175">
        <v>0.59</v>
      </c>
      <c r="PM19" s="175">
        <v>0.58</v>
      </c>
      <c r="PN19" s="175">
        <v>0.57</v>
      </c>
      <c r="PO19" s="175">
        <v>0.55</v>
      </c>
      <c r="PP19" s="175">
        <v>0.53</v>
      </c>
      <c r="PQ19" s="157" t="s">
        <v>67</v>
      </c>
      <c r="PR19" s="157"/>
      <c r="PS19" s="157"/>
      <c r="PT19" s="173">
        <v>0.62</v>
      </c>
      <c r="PU19" s="173">
        <v>0.61</v>
      </c>
      <c r="PV19" s="173">
        <v>0.61</v>
      </c>
      <c r="PW19" s="173">
        <v>0.61</v>
      </c>
      <c r="PX19" s="173">
        <v>0.6</v>
      </c>
      <c r="PY19" s="174">
        <v>0.6</v>
      </c>
      <c r="PZ19" s="173">
        <v>0.6</v>
      </c>
      <c r="QA19" s="174">
        <v>0.59</v>
      </c>
      <c r="QB19" s="175">
        <v>0.59</v>
      </c>
      <c r="QC19" s="175">
        <v>0.58</v>
      </c>
      <c r="QD19" s="175">
        <v>0.57</v>
      </c>
      <c r="QE19" s="175">
        <v>0.55</v>
      </c>
      <c r="QF19" s="175">
        <v>0.53</v>
      </c>
      <c r="QG19" s="157" t="s">
        <v>67</v>
      </c>
      <c r="QH19" s="157"/>
      <c r="QI19" s="157"/>
      <c r="QJ19" s="173">
        <v>0.62</v>
      </c>
      <c r="QK19" s="173">
        <v>0.61</v>
      </c>
      <c r="QL19" s="173">
        <v>0.61</v>
      </c>
      <c r="QM19" s="173">
        <v>0.61</v>
      </c>
      <c r="QN19" s="173">
        <v>0.6</v>
      </c>
      <c r="QO19" s="174">
        <v>0.6</v>
      </c>
      <c r="QP19" s="173">
        <v>0.6</v>
      </c>
      <c r="QQ19" s="174">
        <v>0.59</v>
      </c>
      <c r="QR19" s="175">
        <v>0.59</v>
      </c>
      <c r="QS19" s="175">
        <v>0.58</v>
      </c>
      <c r="QT19" s="175">
        <v>0.57</v>
      </c>
      <c r="QU19" s="175">
        <v>0.55</v>
      </c>
      <c r="QV19" s="175">
        <v>0.53</v>
      </c>
      <c r="QW19" s="157" t="s">
        <v>67</v>
      </c>
      <c r="QX19" s="157"/>
      <c r="QY19" s="157"/>
      <c r="QZ19" s="173">
        <v>0.62</v>
      </c>
      <c r="RA19" s="173">
        <v>0.61</v>
      </c>
      <c r="RB19" s="173">
        <v>0.61</v>
      </c>
      <c r="RC19" s="173">
        <v>0.61</v>
      </c>
      <c r="RD19" s="173">
        <v>0.6</v>
      </c>
      <c r="RE19" s="174">
        <v>0.6</v>
      </c>
      <c r="RF19" s="173">
        <v>0.6</v>
      </c>
      <c r="RG19" s="174">
        <v>0.59</v>
      </c>
      <c r="RH19" s="175">
        <v>0.59</v>
      </c>
      <c r="RI19" s="175">
        <v>0.58</v>
      </c>
      <c r="RJ19" s="175">
        <v>0.57</v>
      </c>
      <c r="RK19" s="175">
        <v>0.55</v>
      </c>
      <c r="RL19" s="175">
        <v>0.53</v>
      </c>
      <c r="RM19" s="157" t="s">
        <v>67</v>
      </c>
      <c r="RN19" s="157"/>
      <c r="RO19" s="157"/>
      <c r="RP19" s="173">
        <v>0.62</v>
      </c>
      <c r="RQ19" s="173">
        <v>0.61</v>
      </c>
      <c r="RR19" s="173">
        <v>0.61</v>
      </c>
      <c r="RS19" s="173">
        <v>0.61</v>
      </c>
      <c r="RT19" s="173">
        <v>0.6</v>
      </c>
      <c r="RU19" s="174">
        <v>0.6</v>
      </c>
      <c r="RV19" s="173">
        <v>0.6</v>
      </c>
      <c r="RW19" s="174">
        <v>0.59</v>
      </c>
      <c r="RX19" s="175">
        <v>0.59</v>
      </c>
      <c r="RY19" s="175">
        <v>0.58</v>
      </c>
      <c r="RZ19" s="175">
        <v>0.57</v>
      </c>
      <c r="SA19" s="175">
        <v>0.55</v>
      </c>
      <c r="SB19" s="175">
        <v>0.53</v>
      </c>
      <c r="SC19" s="157" t="s">
        <v>67</v>
      </c>
      <c r="SD19" s="157"/>
      <c r="SE19" s="157"/>
      <c r="SF19" s="173">
        <v>0.62</v>
      </c>
      <c r="SG19" s="173">
        <v>0.61</v>
      </c>
      <c r="SH19" s="173">
        <v>0.61</v>
      </c>
      <c r="SI19" s="173">
        <v>0.61</v>
      </c>
      <c r="SJ19" s="173">
        <v>0.6</v>
      </c>
      <c r="SK19" s="174">
        <v>0.6</v>
      </c>
      <c r="SL19" s="173">
        <v>0.6</v>
      </c>
      <c r="SM19" s="174">
        <v>0.59</v>
      </c>
      <c r="SN19" s="175">
        <v>0.59</v>
      </c>
      <c r="SO19" s="175">
        <v>0.58</v>
      </c>
      <c r="SP19" s="175">
        <v>0.57</v>
      </c>
      <c r="SQ19" s="175">
        <v>0.55</v>
      </c>
      <c r="SR19" s="175">
        <v>0.53</v>
      </c>
      <c r="SS19" s="157" t="s">
        <v>67</v>
      </c>
      <c r="ST19" s="157"/>
      <c r="SU19" s="157"/>
      <c r="SV19" s="173">
        <v>0.62</v>
      </c>
      <c r="SW19" s="173">
        <v>0.61</v>
      </c>
      <c r="SX19" s="173">
        <v>0.61</v>
      </c>
      <c r="SY19" s="173">
        <v>0.61</v>
      </c>
      <c r="SZ19" s="173">
        <v>0.6</v>
      </c>
      <c r="TA19" s="174">
        <v>0.6</v>
      </c>
      <c r="TB19" s="173">
        <v>0.6</v>
      </c>
      <c r="TC19" s="174">
        <v>0.59</v>
      </c>
      <c r="TD19" s="175">
        <v>0.59</v>
      </c>
      <c r="TE19" s="175">
        <v>0.58</v>
      </c>
      <c r="TF19" s="175">
        <v>0.57</v>
      </c>
      <c r="TG19" s="175">
        <v>0.55</v>
      </c>
      <c r="TH19" s="175">
        <v>0.53</v>
      </c>
      <c r="TI19" s="157" t="s">
        <v>67</v>
      </c>
      <c r="TJ19" s="157"/>
      <c r="TK19" s="157"/>
      <c r="TL19" s="173">
        <v>0.62</v>
      </c>
      <c r="TM19" s="173">
        <v>0.61</v>
      </c>
      <c r="TN19" s="173">
        <v>0.61</v>
      </c>
      <c r="TO19" s="173">
        <v>0.61</v>
      </c>
      <c r="TP19" s="173">
        <v>0.6</v>
      </c>
      <c r="TQ19" s="174">
        <v>0.6</v>
      </c>
      <c r="TR19" s="173">
        <v>0.6</v>
      </c>
      <c r="TS19" s="174">
        <v>0.59</v>
      </c>
      <c r="TT19" s="175">
        <v>0.59</v>
      </c>
      <c r="TU19" s="175">
        <v>0.58</v>
      </c>
      <c r="TV19" s="175">
        <v>0.57</v>
      </c>
      <c r="TW19" s="175">
        <v>0.55</v>
      </c>
      <c r="TX19" s="175">
        <v>0.53</v>
      </c>
      <c r="TY19" s="157" t="s">
        <v>67</v>
      </c>
      <c r="TZ19" s="157"/>
      <c r="UA19" s="157"/>
      <c r="UB19" s="173">
        <v>0.62</v>
      </c>
      <c r="UC19" s="173">
        <v>0.61</v>
      </c>
      <c r="UD19" s="173">
        <v>0.61</v>
      </c>
      <c r="UE19" s="173">
        <v>0.61</v>
      </c>
      <c r="UF19" s="173">
        <v>0.6</v>
      </c>
      <c r="UG19" s="174">
        <v>0.6</v>
      </c>
      <c r="UH19" s="173">
        <v>0.6</v>
      </c>
      <c r="UI19" s="174">
        <v>0.59</v>
      </c>
      <c r="UJ19" s="175">
        <v>0.59</v>
      </c>
      <c r="UK19" s="175">
        <v>0.58</v>
      </c>
      <c r="UL19" s="175">
        <v>0.57</v>
      </c>
      <c r="UM19" s="175">
        <v>0.55</v>
      </c>
      <c r="UN19" s="175">
        <v>0.53</v>
      </c>
      <c r="UO19" s="157" t="s">
        <v>67</v>
      </c>
      <c r="UP19" s="157"/>
      <c r="UQ19" s="157"/>
      <c r="UR19" s="173">
        <v>0.62</v>
      </c>
      <c r="US19" s="173">
        <v>0.61</v>
      </c>
      <c r="UT19" s="173">
        <v>0.61</v>
      </c>
      <c r="UU19" s="173">
        <v>0.61</v>
      </c>
      <c r="UV19" s="173">
        <v>0.6</v>
      </c>
      <c r="UW19" s="174">
        <v>0.6</v>
      </c>
      <c r="UX19" s="173">
        <v>0.6</v>
      </c>
      <c r="UY19" s="174">
        <v>0.59</v>
      </c>
      <c r="UZ19" s="175">
        <v>0.59</v>
      </c>
      <c r="VA19" s="175">
        <v>0.58</v>
      </c>
      <c r="VB19" s="175">
        <v>0.57</v>
      </c>
      <c r="VC19" s="175">
        <v>0.55</v>
      </c>
      <c r="VD19" s="175">
        <v>0.53</v>
      </c>
      <c r="VE19" s="157" t="s">
        <v>67</v>
      </c>
      <c r="VF19" s="157"/>
      <c r="VG19" s="157"/>
      <c r="VH19" s="173">
        <v>0.62</v>
      </c>
      <c r="VI19" s="173">
        <v>0.61</v>
      </c>
      <c r="VJ19" s="173">
        <v>0.61</v>
      </c>
      <c r="VK19" s="173">
        <v>0.61</v>
      </c>
      <c r="VL19" s="173">
        <v>0.6</v>
      </c>
      <c r="VM19" s="174">
        <v>0.6</v>
      </c>
      <c r="VN19" s="173">
        <v>0.6</v>
      </c>
      <c r="VO19" s="174">
        <v>0.59</v>
      </c>
      <c r="VP19" s="175">
        <v>0.59</v>
      </c>
      <c r="VQ19" s="175">
        <v>0.58</v>
      </c>
      <c r="VR19" s="175">
        <v>0.57</v>
      </c>
      <c r="VS19" s="175">
        <v>0.55</v>
      </c>
      <c r="VT19" s="175">
        <v>0.53</v>
      </c>
      <c r="VU19" s="157" t="s">
        <v>67</v>
      </c>
      <c r="VV19" s="157"/>
      <c r="VW19" s="157"/>
      <c r="VX19" s="173">
        <v>0.62</v>
      </c>
      <c r="VY19" s="173">
        <v>0.61</v>
      </c>
      <c r="VZ19" s="173">
        <v>0.61</v>
      </c>
      <c r="WA19" s="173">
        <v>0.61</v>
      </c>
      <c r="WB19" s="173">
        <v>0.6</v>
      </c>
      <c r="WC19" s="174">
        <v>0.6</v>
      </c>
      <c r="WD19" s="173">
        <v>0.6</v>
      </c>
      <c r="WE19" s="174">
        <v>0.59</v>
      </c>
      <c r="WF19" s="175">
        <v>0.59</v>
      </c>
      <c r="WG19" s="175">
        <v>0.58</v>
      </c>
      <c r="WH19" s="175">
        <v>0.57</v>
      </c>
      <c r="WI19" s="175">
        <v>0.55</v>
      </c>
      <c r="WJ19" s="175">
        <v>0.53</v>
      </c>
      <c r="WK19" s="157" t="s">
        <v>67</v>
      </c>
      <c r="WL19" s="157"/>
      <c r="WM19" s="157"/>
      <c r="WN19" s="173">
        <v>0.62</v>
      </c>
      <c r="WO19" s="173">
        <v>0.61</v>
      </c>
      <c r="WP19" s="173">
        <v>0.61</v>
      </c>
      <c r="WQ19" s="173">
        <v>0.61</v>
      </c>
      <c r="WR19" s="173">
        <v>0.6</v>
      </c>
      <c r="WS19" s="174">
        <v>0.6</v>
      </c>
      <c r="WT19" s="173">
        <v>0.6</v>
      </c>
      <c r="WU19" s="174">
        <v>0.59</v>
      </c>
      <c r="WV19" s="175">
        <v>0.59</v>
      </c>
      <c r="WW19" s="175">
        <v>0.58</v>
      </c>
      <c r="WX19" s="175">
        <v>0.57</v>
      </c>
      <c r="WY19" s="175">
        <v>0.55</v>
      </c>
      <c r="WZ19" s="175">
        <v>0.53</v>
      </c>
      <c r="XA19" s="157" t="s">
        <v>67</v>
      </c>
      <c r="XB19" s="157"/>
      <c r="XC19" s="157"/>
      <c r="XD19" s="173">
        <v>0.62</v>
      </c>
      <c r="XE19" s="173">
        <v>0.61</v>
      </c>
      <c r="XF19" s="173">
        <v>0.61</v>
      </c>
      <c r="XG19" s="173">
        <v>0.61</v>
      </c>
      <c r="XH19" s="173">
        <v>0.6</v>
      </c>
      <c r="XI19" s="174">
        <v>0.6</v>
      </c>
      <c r="XJ19" s="173">
        <v>0.6</v>
      </c>
      <c r="XK19" s="174">
        <v>0.59</v>
      </c>
      <c r="XL19" s="175">
        <v>0.59</v>
      </c>
      <c r="XM19" s="175">
        <v>0.58</v>
      </c>
      <c r="XN19" s="175">
        <v>0.57</v>
      </c>
      <c r="XO19" s="175">
        <v>0.55</v>
      </c>
      <c r="XP19" s="175">
        <v>0.53</v>
      </c>
      <c r="XQ19" s="157" t="s">
        <v>67</v>
      </c>
      <c r="XR19" s="157"/>
      <c r="XS19" s="157"/>
      <c r="XT19" s="173">
        <v>0.62</v>
      </c>
      <c r="XU19" s="173">
        <v>0.61</v>
      </c>
      <c r="XV19" s="173">
        <v>0.61</v>
      </c>
      <c r="XW19" s="173">
        <v>0.61</v>
      </c>
      <c r="XX19" s="173">
        <v>0.6</v>
      </c>
      <c r="XY19" s="174">
        <v>0.6</v>
      </c>
      <c r="XZ19" s="173">
        <v>0.6</v>
      </c>
      <c r="YA19" s="174">
        <v>0.59</v>
      </c>
      <c r="YB19" s="175">
        <v>0.59</v>
      </c>
      <c r="YC19" s="175">
        <v>0.58</v>
      </c>
      <c r="YD19" s="175">
        <v>0.57</v>
      </c>
      <c r="YE19" s="175">
        <v>0.55</v>
      </c>
      <c r="YF19" s="175">
        <v>0.53</v>
      </c>
      <c r="YG19" s="157" t="s">
        <v>67</v>
      </c>
      <c r="YH19" s="157"/>
      <c r="YI19" s="157"/>
      <c r="YJ19" s="173">
        <v>0.62</v>
      </c>
      <c r="YK19" s="173">
        <v>0.61</v>
      </c>
      <c r="YL19" s="173">
        <v>0.61</v>
      </c>
      <c r="YM19" s="173">
        <v>0.61</v>
      </c>
      <c r="YN19" s="173">
        <v>0.6</v>
      </c>
      <c r="YO19" s="174">
        <v>0.6</v>
      </c>
      <c r="YP19" s="173">
        <v>0.6</v>
      </c>
      <c r="YQ19" s="174">
        <v>0.59</v>
      </c>
      <c r="YR19" s="175">
        <v>0.59</v>
      </c>
      <c r="YS19" s="175">
        <v>0.58</v>
      </c>
      <c r="YT19" s="175">
        <v>0.57</v>
      </c>
      <c r="YU19" s="175">
        <v>0.55</v>
      </c>
      <c r="YV19" s="175">
        <v>0.53</v>
      </c>
      <c r="YW19" s="157" t="s">
        <v>67</v>
      </c>
      <c r="YX19" s="157"/>
      <c r="YY19" s="157"/>
      <c r="YZ19" s="173">
        <v>0.62</v>
      </c>
      <c r="ZA19" s="173">
        <v>0.61</v>
      </c>
      <c r="ZB19" s="173">
        <v>0.61</v>
      </c>
      <c r="ZC19" s="173">
        <v>0.61</v>
      </c>
      <c r="ZD19" s="173">
        <v>0.6</v>
      </c>
      <c r="ZE19" s="174">
        <v>0.6</v>
      </c>
      <c r="ZF19" s="173">
        <v>0.6</v>
      </c>
      <c r="ZG19" s="174">
        <v>0.59</v>
      </c>
      <c r="ZH19" s="175">
        <v>0.59</v>
      </c>
      <c r="ZI19" s="175">
        <v>0.58</v>
      </c>
      <c r="ZJ19" s="175">
        <v>0.57</v>
      </c>
      <c r="ZK19" s="175">
        <v>0.55</v>
      </c>
      <c r="ZL19" s="175">
        <v>0.53</v>
      </c>
      <c r="ZM19" s="157" t="s">
        <v>67</v>
      </c>
      <c r="ZN19" s="157"/>
      <c r="ZO19" s="157"/>
      <c r="ZP19" s="173">
        <v>0.62</v>
      </c>
      <c r="ZQ19" s="173">
        <v>0.61</v>
      </c>
      <c r="ZR19" s="173">
        <v>0.61</v>
      </c>
      <c r="ZS19" s="173">
        <v>0.61</v>
      </c>
      <c r="ZT19" s="173">
        <v>0.6</v>
      </c>
      <c r="ZU19" s="174">
        <v>0.6</v>
      </c>
      <c r="ZV19" s="173">
        <v>0.6</v>
      </c>
      <c r="ZW19" s="174">
        <v>0.59</v>
      </c>
      <c r="ZX19" s="175">
        <v>0.59</v>
      </c>
      <c r="ZY19" s="175">
        <v>0.58</v>
      </c>
      <c r="ZZ19" s="175">
        <v>0.57</v>
      </c>
      <c r="AAA19" s="175">
        <v>0.55</v>
      </c>
      <c r="AAB19" s="175">
        <v>0.53</v>
      </c>
      <c r="AAC19" s="157" t="s">
        <v>67</v>
      </c>
      <c r="AAD19" s="157"/>
      <c r="AAE19" s="157"/>
      <c r="AAF19" s="173">
        <v>0.62</v>
      </c>
      <c r="AAG19" s="173">
        <v>0.61</v>
      </c>
      <c r="AAH19" s="173">
        <v>0.61</v>
      </c>
      <c r="AAI19" s="173">
        <v>0.61</v>
      </c>
      <c r="AAJ19" s="173">
        <v>0.6</v>
      </c>
      <c r="AAK19" s="174">
        <v>0.6</v>
      </c>
      <c r="AAL19" s="173">
        <v>0.6</v>
      </c>
      <c r="AAM19" s="174">
        <v>0.59</v>
      </c>
      <c r="AAN19" s="175">
        <v>0.59</v>
      </c>
      <c r="AAO19" s="175">
        <v>0.58</v>
      </c>
      <c r="AAP19" s="175">
        <v>0.57</v>
      </c>
      <c r="AAQ19" s="175">
        <v>0.55</v>
      </c>
      <c r="AAR19" s="175">
        <v>0.53</v>
      </c>
      <c r="AAS19" s="157" t="s">
        <v>67</v>
      </c>
      <c r="AAT19" s="157"/>
      <c r="AAU19" s="157"/>
      <c r="AAV19" s="173">
        <v>0.62</v>
      </c>
      <c r="AAW19" s="173">
        <v>0.61</v>
      </c>
      <c r="AAX19" s="173">
        <v>0.61</v>
      </c>
      <c r="AAY19" s="173">
        <v>0.61</v>
      </c>
      <c r="AAZ19" s="173">
        <v>0.6</v>
      </c>
      <c r="ABA19" s="174">
        <v>0.6</v>
      </c>
      <c r="ABB19" s="173">
        <v>0.6</v>
      </c>
      <c r="ABC19" s="174">
        <v>0.59</v>
      </c>
      <c r="ABD19" s="175">
        <v>0.59</v>
      </c>
      <c r="ABE19" s="175">
        <v>0.58</v>
      </c>
      <c r="ABF19" s="175">
        <v>0.57</v>
      </c>
      <c r="ABG19" s="175">
        <v>0.55</v>
      </c>
      <c r="ABH19" s="175">
        <v>0.53</v>
      </c>
      <c r="ABI19" s="157" t="s">
        <v>67</v>
      </c>
      <c r="ABJ19" s="157"/>
      <c r="ABK19" s="157"/>
      <c r="ABL19" s="173">
        <v>0.62</v>
      </c>
      <c r="ABM19" s="173">
        <v>0.61</v>
      </c>
      <c r="ABN19" s="173">
        <v>0.61</v>
      </c>
      <c r="ABO19" s="173">
        <v>0.61</v>
      </c>
      <c r="ABP19" s="173">
        <v>0.6</v>
      </c>
      <c r="ABQ19" s="174">
        <v>0.6</v>
      </c>
      <c r="ABR19" s="173">
        <v>0.6</v>
      </c>
      <c r="ABS19" s="174">
        <v>0.59</v>
      </c>
      <c r="ABT19" s="175">
        <v>0.59</v>
      </c>
      <c r="ABU19" s="175">
        <v>0.58</v>
      </c>
      <c r="ABV19" s="175">
        <v>0.57</v>
      </c>
      <c r="ABW19" s="175">
        <v>0.55</v>
      </c>
      <c r="ABX19" s="175">
        <v>0.53</v>
      </c>
      <c r="ABY19" s="157" t="s">
        <v>67</v>
      </c>
      <c r="ABZ19" s="157"/>
      <c r="ACA19" s="157"/>
      <c r="ACB19" s="173">
        <v>0.62</v>
      </c>
      <c r="ACC19" s="173">
        <v>0.61</v>
      </c>
      <c r="ACD19" s="173">
        <v>0.61</v>
      </c>
      <c r="ACE19" s="173">
        <v>0.61</v>
      </c>
      <c r="ACF19" s="173">
        <v>0.6</v>
      </c>
      <c r="ACG19" s="174">
        <v>0.6</v>
      </c>
      <c r="ACH19" s="173">
        <v>0.6</v>
      </c>
      <c r="ACI19" s="174">
        <v>0.59</v>
      </c>
      <c r="ACJ19" s="175">
        <v>0.59</v>
      </c>
      <c r="ACK19" s="175">
        <v>0.58</v>
      </c>
      <c r="ACL19" s="175">
        <v>0.57</v>
      </c>
      <c r="ACM19" s="175">
        <v>0.55</v>
      </c>
      <c r="ACN19" s="175">
        <v>0.53</v>
      </c>
      <c r="ACO19" s="157" t="s">
        <v>67</v>
      </c>
      <c r="ACP19" s="157"/>
      <c r="ACQ19" s="157"/>
      <c r="ACR19" s="173">
        <v>0.62</v>
      </c>
      <c r="ACS19" s="173">
        <v>0.61</v>
      </c>
      <c r="ACT19" s="173">
        <v>0.61</v>
      </c>
      <c r="ACU19" s="173">
        <v>0.61</v>
      </c>
      <c r="ACV19" s="173">
        <v>0.6</v>
      </c>
      <c r="ACW19" s="174">
        <v>0.6</v>
      </c>
      <c r="ACX19" s="173">
        <v>0.6</v>
      </c>
      <c r="ACY19" s="174">
        <v>0.59</v>
      </c>
      <c r="ACZ19" s="175">
        <v>0.59</v>
      </c>
      <c r="ADA19" s="175">
        <v>0.58</v>
      </c>
      <c r="ADB19" s="175">
        <v>0.57</v>
      </c>
      <c r="ADC19" s="175">
        <v>0.55</v>
      </c>
      <c r="ADD19" s="175">
        <v>0.53</v>
      </c>
      <c r="ADE19" s="157" t="s">
        <v>67</v>
      </c>
      <c r="ADF19" s="157"/>
      <c r="ADG19" s="157"/>
      <c r="ADH19" s="173">
        <v>0.62</v>
      </c>
      <c r="ADI19" s="173">
        <v>0.61</v>
      </c>
      <c r="ADJ19" s="173">
        <v>0.61</v>
      </c>
      <c r="ADK19" s="173">
        <v>0.61</v>
      </c>
      <c r="ADL19" s="173">
        <v>0.6</v>
      </c>
      <c r="ADM19" s="174">
        <v>0.6</v>
      </c>
      <c r="ADN19" s="173">
        <v>0.6</v>
      </c>
      <c r="ADO19" s="174">
        <v>0.59</v>
      </c>
      <c r="ADP19" s="175">
        <v>0.59</v>
      </c>
      <c r="ADQ19" s="175">
        <v>0.58</v>
      </c>
      <c r="ADR19" s="175">
        <v>0.57</v>
      </c>
      <c r="ADS19" s="175">
        <v>0.55</v>
      </c>
      <c r="ADT19" s="175">
        <v>0.53</v>
      </c>
      <c r="ADU19" s="157" t="s">
        <v>67</v>
      </c>
      <c r="ADV19" s="157"/>
      <c r="ADW19" s="157"/>
      <c r="ADX19" s="173">
        <v>0.62</v>
      </c>
      <c r="ADY19" s="173">
        <v>0.61</v>
      </c>
      <c r="ADZ19" s="173">
        <v>0.61</v>
      </c>
      <c r="AEA19" s="173">
        <v>0.61</v>
      </c>
      <c r="AEB19" s="173">
        <v>0.6</v>
      </c>
      <c r="AEC19" s="174">
        <v>0.6</v>
      </c>
      <c r="AED19" s="173">
        <v>0.6</v>
      </c>
      <c r="AEE19" s="174">
        <v>0.59</v>
      </c>
      <c r="AEF19" s="175">
        <v>0.59</v>
      </c>
      <c r="AEG19" s="175">
        <v>0.58</v>
      </c>
      <c r="AEH19" s="175">
        <v>0.57</v>
      </c>
      <c r="AEI19" s="175">
        <v>0.55</v>
      </c>
      <c r="AEJ19" s="175">
        <v>0.53</v>
      </c>
      <c r="AEK19" s="157" t="s">
        <v>67</v>
      </c>
      <c r="AEL19" s="157"/>
      <c r="AEM19" s="157"/>
      <c r="AEN19" s="173">
        <v>0.62</v>
      </c>
      <c r="AEO19" s="173">
        <v>0.61</v>
      </c>
      <c r="AEP19" s="173">
        <v>0.61</v>
      </c>
      <c r="AEQ19" s="173">
        <v>0.61</v>
      </c>
      <c r="AER19" s="173">
        <v>0.6</v>
      </c>
      <c r="AES19" s="174">
        <v>0.6</v>
      </c>
      <c r="AET19" s="173">
        <v>0.6</v>
      </c>
      <c r="AEU19" s="174">
        <v>0.59</v>
      </c>
      <c r="AEV19" s="175">
        <v>0.59</v>
      </c>
      <c r="AEW19" s="175">
        <v>0.58</v>
      </c>
      <c r="AEX19" s="175">
        <v>0.57</v>
      </c>
      <c r="AEY19" s="175">
        <v>0.55</v>
      </c>
      <c r="AEZ19" s="175">
        <v>0.53</v>
      </c>
      <c r="AFA19" s="157" t="s">
        <v>67</v>
      </c>
      <c r="AFB19" s="157"/>
      <c r="AFC19" s="157"/>
      <c r="AFD19" s="173">
        <v>0.62</v>
      </c>
      <c r="AFE19" s="173">
        <v>0.61</v>
      </c>
      <c r="AFF19" s="173">
        <v>0.61</v>
      </c>
      <c r="AFG19" s="173">
        <v>0.61</v>
      </c>
      <c r="AFH19" s="173">
        <v>0.6</v>
      </c>
      <c r="AFI19" s="174">
        <v>0.6</v>
      </c>
      <c r="AFJ19" s="173">
        <v>0.6</v>
      </c>
      <c r="AFK19" s="174">
        <v>0.59</v>
      </c>
      <c r="AFL19" s="175">
        <v>0.59</v>
      </c>
      <c r="AFM19" s="175">
        <v>0.58</v>
      </c>
      <c r="AFN19" s="175">
        <v>0.57</v>
      </c>
      <c r="AFO19" s="175">
        <v>0.55</v>
      </c>
      <c r="AFP19" s="175">
        <v>0.53</v>
      </c>
      <c r="AFQ19" s="157" t="s">
        <v>67</v>
      </c>
      <c r="AFR19" s="157"/>
      <c r="AFS19" s="157"/>
      <c r="AFT19" s="173">
        <v>0.62</v>
      </c>
      <c r="AFU19" s="173">
        <v>0.61</v>
      </c>
      <c r="AFV19" s="173">
        <v>0.61</v>
      </c>
      <c r="AFW19" s="173">
        <v>0.61</v>
      </c>
      <c r="AFX19" s="173">
        <v>0.6</v>
      </c>
      <c r="AFY19" s="174">
        <v>0.6</v>
      </c>
      <c r="AFZ19" s="173">
        <v>0.6</v>
      </c>
      <c r="AGA19" s="174">
        <v>0.59</v>
      </c>
      <c r="AGB19" s="175">
        <v>0.59</v>
      </c>
      <c r="AGC19" s="175">
        <v>0.58</v>
      </c>
      <c r="AGD19" s="175">
        <v>0.57</v>
      </c>
      <c r="AGE19" s="175">
        <v>0.55</v>
      </c>
      <c r="AGF19" s="175">
        <v>0.53</v>
      </c>
      <c r="AGG19" s="157" t="s">
        <v>67</v>
      </c>
      <c r="AGH19" s="157"/>
      <c r="AGI19" s="157"/>
      <c r="AGJ19" s="173">
        <v>0.62</v>
      </c>
      <c r="AGK19" s="173">
        <v>0.61</v>
      </c>
      <c r="AGL19" s="173">
        <v>0.61</v>
      </c>
      <c r="AGM19" s="173">
        <v>0.61</v>
      </c>
      <c r="AGN19" s="173">
        <v>0.6</v>
      </c>
      <c r="AGO19" s="174">
        <v>0.6</v>
      </c>
      <c r="AGP19" s="173">
        <v>0.6</v>
      </c>
      <c r="AGQ19" s="174">
        <v>0.59</v>
      </c>
      <c r="AGR19" s="175">
        <v>0.59</v>
      </c>
      <c r="AGS19" s="175">
        <v>0.58</v>
      </c>
      <c r="AGT19" s="175">
        <v>0.57</v>
      </c>
      <c r="AGU19" s="175">
        <v>0.55</v>
      </c>
      <c r="AGV19" s="175">
        <v>0.53</v>
      </c>
      <c r="AGW19" s="157" t="s">
        <v>67</v>
      </c>
      <c r="AGX19" s="157"/>
      <c r="AGY19" s="157"/>
      <c r="AGZ19" s="173">
        <v>0.62</v>
      </c>
      <c r="AHA19" s="173">
        <v>0.61</v>
      </c>
      <c r="AHB19" s="173">
        <v>0.61</v>
      </c>
      <c r="AHC19" s="173">
        <v>0.61</v>
      </c>
      <c r="AHD19" s="173">
        <v>0.6</v>
      </c>
      <c r="AHE19" s="174">
        <v>0.6</v>
      </c>
      <c r="AHF19" s="173">
        <v>0.6</v>
      </c>
      <c r="AHG19" s="174">
        <v>0.59</v>
      </c>
      <c r="AHH19" s="175">
        <v>0.59</v>
      </c>
      <c r="AHI19" s="175">
        <v>0.58</v>
      </c>
      <c r="AHJ19" s="175">
        <v>0.57</v>
      </c>
      <c r="AHK19" s="175">
        <v>0.55</v>
      </c>
      <c r="AHL19" s="175">
        <v>0.53</v>
      </c>
      <c r="AHM19" s="157" t="s">
        <v>67</v>
      </c>
      <c r="AHN19" s="157"/>
      <c r="AHO19" s="157"/>
      <c r="AHP19" s="173">
        <v>0.62</v>
      </c>
      <c r="AHQ19" s="173">
        <v>0.61</v>
      </c>
      <c r="AHR19" s="173">
        <v>0.61</v>
      </c>
      <c r="AHS19" s="173">
        <v>0.61</v>
      </c>
      <c r="AHT19" s="173">
        <v>0.6</v>
      </c>
      <c r="AHU19" s="174">
        <v>0.6</v>
      </c>
      <c r="AHV19" s="173">
        <v>0.6</v>
      </c>
      <c r="AHW19" s="174">
        <v>0.59</v>
      </c>
      <c r="AHX19" s="175">
        <v>0.59</v>
      </c>
      <c r="AHY19" s="175">
        <v>0.58</v>
      </c>
      <c r="AHZ19" s="175">
        <v>0.57</v>
      </c>
      <c r="AIA19" s="175">
        <v>0.55</v>
      </c>
      <c r="AIB19" s="175">
        <v>0.53</v>
      </c>
      <c r="AIC19" s="157" t="s">
        <v>67</v>
      </c>
      <c r="AID19" s="157"/>
      <c r="AIE19" s="157"/>
      <c r="AIF19" s="173">
        <v>0.62</v>
      </c>
      <c r="AIG19" s="173">
        <v>0.61</v>
      </c>
      <c r="AIH19" s="173">
        <v>0.61</v>
      </c>
      <c r="AII19" s="173">
        <v>0.61</v>
      </c>
      <c r="AIJ19" s="173">
        <v>0.6</v>
      </c>
      <c r="AIK19" s="174">
        <v>0.6</v>
      </c>
      <c r="AIL19" s="173">
        <v>0.6</v>
      </c>
      <c r="AIM19" s="174">
        <v>0.59</v>
      </c>
      <c r="AIN19" s="175">
        <v>0.59</v>
      </c>
      <c r="AIO19" s="175">
        <v>0.58</v>
      </c>
      <c r="AIP19" s="175">
        <v>0.57</v>
      </c>
      <c r="AIQ19" s="175">
        <v>0.55</v>
      </c>
      <c r="AIR19" s="175">
        <v>0.53</v>
      </c>
      <c r="AIS19" s="157" t="s">
        <v>67</v>
      </c>
      <c r="AIT19" s="157"/>
      <c r="AIU19" s="157"/>
      <c r="AIV19" s="173">
        <v>0.62</v>
      </c>
      <c r="AIW19" s="173">
        <v>0.61</v>
      </c>
      <c r="AIX19" s="173">
        <v>0.61</v>
      </c>
      <c r="AIY19" s="173">
        <v>0.61</v>
      </c>
      <c r="AIZ19" s="173">
        <v>0.6</v>
      </c>
      <c r="AJA19" s="174">
        <v>0.6</v>
      </c>
      <c r="AJB19" s="173">
        <v>0.6</v>
      </c>
      <c r="AJC19" s="174">
        <v>0.59</v>
      </c>
      <c r="AJD19" s="175">
        <v>0.59</v>
      </c>
      <c r="AJE19" s="175">
        <v>0.58</v>
      </c>
      <c r="AJF19" s="175">
        <v>0.57</v>
      </c>
      <c r="AJG19" s="175">
        <v>0.55</v>
      </c>
      <c r="AJH19" s="175">
        <v>0.53</v>
      </c>
      <c r="AJI19" s="157" t="s">
        <v>67</v>
      </c>
      <c r="AJJ19" s="157"/>
      <c r="AJK19" s="157"/>
      <c r="AJL19" s="173">
        <v>0.62</v>
      </c>
      <c r="AJM19" s="173">
        <v>0.61</v>
      </c>
      <c r="AJN19" s="173">
        <v>0.61</v>
      </c>
      <c r="AJO19" s="173">
        <v>0.61</v>
      </c>
      <c r="AJP19" s="173">
        <v>0.6</v>
      </c>
      <c r="AJQ19" s="174">
        <v>0.6</v>
      </c>
      <c r="AJR19" s="173">
        <v>0.6</v>
      </c>
      <c r="AJS19" s="174">
        <v>0.59</v>
      </c>
      <c r="AJT19" s="175">
        <v>0.59</v>
      </c>
      <c r="AJU19" s="175">
        <v>0.58</v>
      </c>
      <c r="AJV19" s="175">
        <v>0.57</v>
      </c>
      <c r="AJW19" s="175">
        <v>0.55</v>
      </c>
      <c r="AJX19" s="175">
        <v>0.53</v>
      </c>
      <c r="AJY19" s="157" t="s">
        <v>67</v>
      </c>
      <c r="AJZ19" s="157"/>
      <c r="AKA19" s="157"/>
      <c r="AKB19" s="173">
        <v>0.62</v>
      </c>
      <c r="AKC19" s="173">
        <v>0.61</v>
      </c>
      <c r="AKD19" s="173">
        <v>0.61</v>
      </c>
      <c r="AKE19" s="173">
        <v>0.61</v>
      </c>
      <c r="AKF19" s="173">
        <v>0.6</v>
      </c>
      <c r="AKG19" s="174">
        <v>0.6</v>
      </c>
      <c r="AKH19" s="173">
        <v>0.6</v>
      </c>
      <c r="AKI19" s="174">
        <v>0.59</v>
      </c>
      <c r="AKJ19" s="175">
        <v>0.59</v>
      </c>
      <c r="AKK19" s="175">
        <v>0.58</v>
      </c>
      <c r="AKL19" s="175">
        <v>0.57</v>
      </c>
      <c r="AKM19" s="175">
        <v>0.55</v>
      </c>
      <c r="AKN19" s="175">
        <v>0.53</v>
      </c>
      <c r="AKO19" s="157" t="s">
        <v>67</v>
      </c>
      <c r="AKP19" s="157"/>
      <c r="AKQ19" s="157"/>
      <c r="AKR19" s="173">
        <v>0.62</v>
      </c>
      <c r="AKS19" s="173">
        <v>0.61</v>
      </c>
      <c r="AKT19" s="173">
        <v>0.61</v>
      </c>
      <c r="AKU19" s="173">
        <v>0.61</v>
      </c>
      <c r="AKV19" s="173">
        <v>0.6</v>
      </c>
      <c r="AKW19" s="174">
        <v>0.6</v>
      </c>
      <c r="AKX19" s="173">
        <v>0.6</v>
      </c>
      <c r="AKY19" s="174">
        <v>0.59</v>
      </c>
      <c r="AKZ19" s="175">
        <v>0.59</v>
      </c>
      <c r="ALA19" s="175">
        <v>0.58</v>
      </c>
      <c r="ALB19" s="175">
        <v>0.57</v>
      </c>
      <c r="ALC19" s="175">
        <v>0.55</v>
      </c>
      <c r="ALD19" s="175">
        <v>0.53</v>
      </c>
      <c r="ALE19" s="157" t="s">
        <v>67</v>
      </c>
      <c r="ALF19" s="157"/>
      <c r="ALG19" s="157"/>
      <c r="ALH19" s="173">
        <v>0.62</v>
      </c>
      <c r="ALI19" s="173">
        <v>0.61</v>
      </c>
      <c r="ALJ19" s="173">
        <v>0.61</v>
      </c>
      <c r="ALK19" s="173">
        <v>0.61</v>
      </c>
      <c r="ALL19" s="173">
        <v>0.6</v>
      </c>
      <c r="ALM19" s="174">
        <v>0.6</v>
      </c>
      <c r="ALN19" s="173">
        <v>0.6</v>
      </c>
      <c r="ALO19" s="174">
        <v>0.59</v>
      </c>
      <c r="ALP19" s="175">
        <v>0.59</v>
      </c>
      <c r="ALQ19" s="175">
        <v>0.58</v>
      </c>
      <c r="ALR19" s="175">
        <v>0.57</v>
      </c>
      <c r="ALS19" s="175">
        <v>0.55</v>
      </c>
      <c r="ALT19" s="175">
        <v>0.53</v>
      </c>
      <c r="ALU19" s="157" t="s">
        <v>67</v>
      </c>
      <c r="ALV19" s="157"/>
      <c r="ALW19" s="157"/>
      <c r="ALX19" s="173">
        <v>0.62</v>
      </c>
      <c r="ALY19" s="173">
        <v>0.61</v>
      </c>
      <c r="ALZ19" s="173">
        <v>0.61</v>
      </c>
      <c r="AMA19" s="173">
        <v>0.61</v>
      </c>
      <c r="AMB19" s="173">
        <v>0.6</v>
      </c>
      <c r="AMC19" s="174">
        <v>0.6</v>
      </c>
      <c r="AMD19" s="173">
        <v>0.6</v>
      </c>
      <c r="AME19" s="174">
        <v>0.59</v>
      </c>
      <c r="AMF19" s="175">
        <v>0.59</v>
      </c>
      <c r="AMG19" s="175">
        <v>0.58</v>
      </c>
      <c r="AMH19" s="175">
        <v>0.57</v>
      </c>
      <c r="AMI19" s="175">
        <v>0.55</v>
      </c>
      <c r="AMJ19" s="175">
        <v>0.53</v>
      </c>
      <c r="AMK19" s="157" t="s">
        <v>67</v>
      </c>
      <c r="AML19" s="157"/>
      <c r="AMM19" s="157"/>
      <c r="AMN19" s="173">
        <v>0.62</v>
      </c>
      <c r="AMO19" s="173">
        <v>0.61</v>
      </c>
      <c r="AMP19" s="173">
        <v>0.61</v>
      </c>
      <c r="AMQ19" s="173">
        <v>0.61</v>
      </c>
      <c r="AMR19" s="173">
        <v>0.6</v>
      </c>
      <c r="AMS19" s="174">
        <v>0.6</v>
      </c>
      <c r="AMT19" s="173">
        <v>0.6</v>
      </c>
      <c r="AMU19" s="174">
        <v>0.59</v>
      </c>
      <c r="AMV19" s="175">
        <v>0.59</v>
      </c>
      <c r="AMW19" s="175">
        <v>0.58</v>
      </c>
      <c r="AMX19" s="175">
        <v>0.57</v>
      </c>
      <c r="AMY19" s="175">
        <v>0.55</v>
      </c>
      <c r="AMZ19" s="175">
        <v>0.53</v>
      </c>
      <c r="ANA19" s="157" t="s">
        <v>67</v>
      </c>
      <c r="ANB19" s="157"/>
      <c r="ANC19" s="157"/>
      <c r="AND19" s="173">
        <v>0.62</v>
      </c>
      <c r="ANE19" s="173">
        <v>0.61</v>
      </c>
      <c r="ANF19" s="173">
        <v>0.61</v>
      </c>
      <c r="ANG19" s="173">
        <v>0.61</v>
      </c>
      <c r="ANH19" s="173">
        <v>0.6</v>
      </c>
      <c r="ANI19" s="174">
        <v>0.6</v>
      </c>
      <c r="ANJ19" s="173">
        <v>0.6</v>
      </c>
      <c r="ANK19" s="174">
        <v>0.59</v>
      </c>
      <c r="ANL19" s="175">
        <v>0.59</v>
      </c>
      <c r="ANM19" s="175">
        <v>0.58</v>
      </c>
      <c r="ANN19" s="175">
        <v>0.57</v>
      </c>
      <c r="ANO19" s="175">
        <v>0.55</v>
      </c>
      <c r="ANP19" s="175">
        <v>0.53</v>
      </c>
      <c r="ANQ19" s="157" t="s">
        <v>67</v>
      </c>
      <c r="ANR19" s="157"/>
      <c r="ANS19" s="157"/>
      <c r="ANT19" s="173">
        <v>0.62</v>
      </c>
      <c r="ANU19" s="173">
        <v>0.61</v>
      </c>
      <c r="ANV19" s="173">
        <v>0.61</v>
      </c>
      <c r="ANW19" s="173">
        <v>0.61</v>
      </c>
      <c r="ANX19" s="173">
        <v>0.6</v>
      </c>
      <c r="ANY19" s="174">
        <v>0.6</v>
      </c>
      <c r="ANZ19" s="173">
        <v>0.6</v>
      </c>
      <c r="AOA19" s="174">
        <v>0.59</v>
      </c>
      <c r="AOB19" s="175">
        <v>0.59</v>
      </c>
      <c r="AOC19" s="175">
        <v>0.58</v>
      </c>
      <c r="AOD19" s="175">
        <v>0.57</v>
      </c>
      <c r="AOE19" s="175">
        <v>0.55</v>
      </c>
      <c r="AOF19" s="175">
        <v>0.53</v>
      </c>
      <c r="AOG19" s="157" t="s">
        <v>67</v>
      </c>
      <c r="AOH19" s="157"/>
      <c r="AOI19" s="157"/>
      <c r="AOJ19" s="173">
        <v>0.62</v>
      </c>
      <c r="AOK19" s="173">
        <v>0.61</v>
      </c>
      <c r="AOL19" s="173">
        <v>0.61</v>
      </c>
      <c r="AOM19" s="173">
        <v>0.61</v>
      </c>
      <c r="AON19" s="173">
        <v>0.6</v>
      </c>
      <c r="AOO19" s="174">
        <v>0.6</v>
      </c>
      <c r="AOP19" s="173">
        <v>0.6</v>
      </c>
      <c r="AOQ19" s="174">
        <v>0.59</v>
      </c>
      <c r="AOR19" s="175">
        <v>0.59</v>
      </c>
      <c r="AOS19" s="175">
        <v>0.58</v>
      </c>
      <c r="AOT19" s="175">
        <v>0.57</v>
      </c>
      <c r="AOU19" s="175">
        <v>0.55</v>
      </c>
      <c r="AOV19" s="175">
        <v>0.53</v>
      </c>
      <c r="AOW19" s="157" t="s">
        <v>67</v>
      </c>
      <c r="AOX19" s="157"/>
      <c r="AOY19" s="157"/>
      <c r="AOZ19" s="173">
        <v>0.62</v>
      </c>
      <c r="APA19" s="173">
        <v>0.61</v>
      </c>
      <c r="APB19" s="173">
        <v>0.61</v>
      </c>
      <c r="APC19" s="173">
        <v>0.61</v>
      </c>
      <c r="APD19" s="173">
        <v>0.6</v>
      </c>
      <c r="APE19" s="174">
        <v>0.6</v>
      </c>
      <c r="APF19" s="173">
        <v>0.6</v>
      </c>
      <c r="APG19" s="174">
        <v>0.59</v>
      </c>
      <c r="APH19" s="175">
        <v>0.59</v>
      </c>
      <c r="API19" s="175">
        <v>0.58</v>
      </c>
      <c r="APJ19" s="175">
        <v>0.57</v>
      </c>
      <c r="APK19" s="175">
        <v>0.55</v>
      </c>
      <c r="APL19" s="175">
        <v>0.53</v>
      </c>
      <c r="APM19" s="157" t="s">
        <v>67</v>
      </c>
      <c r="APN19" s="157"/>
      <c r="APO19" s="157"/>
      <c r="APP19" s="173">
        <v>0.62</v>
      </c>
      <c r="APQ19" s="173">
        <v>0.61</v>
      </c>
      <c r="APR19" s="173">
        <v>0.61</v>
      </c>
      <c r="APS19" s="173">
        <v>0.61</v>
      </c>
      <c r="APT19" s="173">
        <v>0.6</v>
      </c>
      <c r="APU19" s="174">
        <v>0.6</v>
      </c>
      <c r="APV19" s="173">
        <v>0.6</v>
      </c>
      <c r="APW19" s="174">
        <v>0.59</v>
      </c>
      <c r="APX19" s="175">
        <v>0.59</v>
      </c>
      <c r="APY19" s="175">
        <v>0.58</v>
      </c>
      <c r="APZ19" s="175">
        <v>0.57</v>
      </c>
      <c r="AQA19" s="175">
        <v>0.55</v>
      </c>
      <c r="AQB19" s="175">
        <v>0.53</v>
      </c>
      <c r="AQC19" s="157" t="s">
        <v>67</v>
      </c>
      <c r="AQD19" s="157"/>
      <c r="AQE19" s="157"/>
      <c r="AQF19" s="173">
        <v>0.62</v>
      </c>
      <c r="AQG19" s="173">
        <v>0.61</v>
      </c>
      <c r="AQH19" s="173">
        <v>0.61</v>
      </c>
      <c r="AQI19" s="173">
        <v>0.61</v>
      </c>
      <c r="AQJ19" s="173">
        <v>0.6</v>
      </c>
      <c r="AQK19" s="174">
        <v>0.6</v>
      </c>
      <c r="AQL19" s="173">
        <v>0.6</v>
      </c>
      <c r="AQM19" s="174">
        <v>0.59</v>
      </c>
      <c r="AQN19" s="175">
        <v>0.59</v>
      </c>
      <c r="AQO19" s="175">
        <v>0.58</v>
      </c>
      <c r="AQP19" s="175">
        <v>0.57</v>
      </c>
      <c r="AQQ19" s="175">
        <v>0.55</v>
      </c>
      <c r="AQR19" s="175">
        <v>0.53</v>
      </c>
      <c r="AQS19" s="157" t="s">
        <v>67</v>
      </c>
      <c r="AQT19" s="157"/>
      <c r="AQU19" s="157"/>
      <c r="AQV19" s="173">
        <v>0.62</v>
      </c>
      <c r="AQW19" s="173">
        <v>0.61</v>
      </c>
      <c r="AQX19" s="173">
        <v>0.61</v>
      </c>
      <c r="AQY19" s="173">
        <v>0.61</v>
      </c>
      <c r="AQZ19" s="173">
        <v>0.6</v>
      </c>
      <c r="ARA19" s="174">
        <v>0.6</v>
      </c>
      <c r="ARB19" s="173">
        <v>0.6</v>
      </c>
      <c r="ARC19" s="174">
        <v>0.59</v>
      </c>
      <c r="ARD19" s="175">
        <v>0.59</v>
      </c>
      <c r="ARE19" s="175">
        <v>0.58</v>
      </c>
      <c r="ARF19" s="175">
        <v>0.57</v>
      </c>
      <c r="ARG19" s="175">
        <v>0.55</v>
      </c>
      <c r="ARH19" s="175">
        <v>0.53</v>
      </c>
      <c r="ARI19" s="157" t="s">
        <v>67</v>
      </c>
      <c r="ARJ19" s="157"/>
      <c r="ARK19" s="157"/>
      <c r="ARL19" s="173">
        <v>0.62</v>
      </c>
      <c r="ARM19" s="173">
        <v>0.61</v>
      </c>
      <c r="ARN19" s="173">
        <v>0.61</v>
      </c>
      <c r="ARO19" s="173">
        <v>0.61</v>
      </c>
      <c r="ARP19" s="173">
        <v>0.6</v>
      </c>
      <c r="ARQ19" s="174">
        <v>0.6</v>
      </c>
      <c r="ARR19" s="173">
        <v>0.6</v>
      </c>
      <c r="ARS19" s="174">
        <v>0.59</v>
      </c>
      <c r="ART19" s="175">
        <v>0.59</v>
      </c>
      <c r="ARU19" s="175">
        <v>0.58</v>
      </c>
      <c r="ARV19" s="175">
        <v>0.57</v>
      </c>
      <c r="ARW19" s="175">
        <v>0.55</v>
      </c>
      <c r="ARX19" s="175">
        <v>0.53</v>
      </c>
      <c r="ARY19" s="157" t="s">
        <v>67</v>
      </c>
      <c r="ARZ19" s="157"/>
      <c r="ASA19" s="157"/>
      <c r="ASB19" s="173">
        <v>0.62</v>
      </c>
      <c r="ASC19" s="173">
        <v>0.61</v>
      </c>
      <c r="ASD19" s="173">
        <v>0.61</v>
      </c>
      <c r="ASE19" s="173">
        <v>0.61</v>
      </c>
      <c r="ASF19" s="173">
        <v>0.6</v>
      </c>
      <c r="ASG19" s="174">
        <v>0.6</v>
      </c>
      <c r="ASH19" s="173">
        <v>0.6</v>
      </c>
      <c r="ASI19" s="174">
        <v>0.59</v>
      </c>
      <c r="ASJ19" s="175">
        <v>0.59</v>
      </c>
      <c r="ASK19" s="175">
        <v>0.58</v>
      </c>
      <c r="ASL19" s="175">
        <v>0.57</v>
      </c>
      <c r="ASM19" s="175">
        <v>0.55</v>
      </c>
      <c r="ASN19" s="175">
        <v>0.53</v>
      </c>
      <c r="ASO19" s="157" t="s">
        <v>67</v>
      </c>
      <c r="ASP19" s="157"/>
      <c r="ASQ19" s="157"/>
      <c r="ASR19" s="173">
        <v>0.62</v>
      </c>
      <c r="ASS19" s="173">
        <v>0.61</v>
      </c>
      <c r="AST19" s="173">
        <v>0.61</v>
      </c>
      <c r="ASU19" s="173">
        <v>0.61</v>
      </c>
      <c r="ASV19" s="173">
        <v>0.6</v>
      </c>
      <c r="ASW19" s="174">
        <v>0.6</v>
      </c>
      <c r="ASX19" s="173">
        <v>0.6</v>
      </c>
      <c r="ASY19" s="174">
        <v>0.59</v>
      </c>
      <c r="ASZ19" s="175">
        <v>0.59</v>
      </c>
      <c r="ATA19" s="175">
        <v>0.58</v>
      </c>
      <c r="ATB19" s="175">
        <v>0.57</v>
      </c>
      <c r="ATC19" s="175">
        <v>0.55</v>
      </c>
      <c r="ATD19" s="175">
        <v>0.53</v>
      </c>
      <c r="ATE19" s="157" t="s">
        <v>67</v>
      </c>
      <c r="ATF19" s="157"/>
      <c r="ATG19" s="157"/>
      <c r="ATH19" s="173">
        <v>0.62</v>
      </c>
      <c r="ATI19" s="173">
        <v>0.61</v>
      </c>
      <c r="ATJ19" s="173">
        <v>0.61</v>
      </c>
      <c r="ATK19" s="173">
        <v>0.61</v>
      </c>
      <c r="ATL19" s="173">
        <v>0.6</v>
      </c>
      <c r="ATM19" s="174">
        <v>0.6</v>
      </c>
      <c r="ATN19" s="173">
        <v>0.6</v>
      </c>
      <c r="ATO19" s="174">
        <v>0.59</v>
      </c>
      <c r="ATP19" s="175">
        <v>0.59</v>
      </c>
      <c r="ATQ19" s="175">
        <v>0.58</v>
      </c>
      <c r="ATR19" s="175">
        <v>0.57</v>
      </c>
      <c r="ATS19" s="175">
        <v>0.55</v>
      </c>
      <c r="ATT19" s="175">
        <v>0.53</v>
      </c>
      <c r="ATU19" s="157" t="s">
        <v>67</v>
      </c>
      <c r="ATV19" s="157"/>
      <c r="ATW19" s="157"/>
      <c r="ATX19" s="173">
        <v>0.62</v>
      </c>
      <c r="ATY19" s="173">
        <v>0.61</v>
      </c>
      <c r="ATZ19" s="173">
        <v>0.61</v>
      </c>
      <c r="AUA19" s="173">
        <v>0.61</v>
      </c>
      <c r="AUB19" s="173">
        <v>0.6</v>
      </c>
      <c r="AUC19" s="174">
        <v>0.6</v>
      </c>
      <c r="AUD19" s="173">
        <v>0.6</v>
      </c>
      <c r="AUE19" s="174">
        <v>0.59</v>
      </c>
      <c r="AUF19" s="175">
        <v>0.59</v>
      </c>
      <c r="AUG19" s="175">
        <v>0.58</v>
      </c>
      <c r="AUH19" s="175">
        <v>0.57</v>
      </c>
      <c r="AUI19" s="175">
        <v>0.55</v>
      </c>
      <c r="AUJ19" s="175">
        <v>0.53</v>
      </c>
      <c r="AUK19" s="157" t="s">
        <v>67</v>
      </c>
      <c r="AUL19" s="157"/>
      <c r="AUM19" s="157"/>
      <c r="AUN19" s="173">
        <v>0.62</v>
      </c>
      <c r="AUO19" s="173">
        <v>0.61</v>
      </c>
      <c r="AUP19" s="173">
        <v>0.61</v>
      </c>
      <c r="AUQ19" s="173">
        <v>0.61</v>
      </c>
      <c r="AUR19" s="173">
        <v>0.6</v>
      </c>
      <c r="AUS19" s="174">
        <v>0.6</v>
      </c>
      <c r="AUT19" s="173">
        <v>0.6</v>
      </c>
      <c r="AUU19" s="174">
        <v>0.59</v>
      </c>
      <c r="AUV19" s="175">
        <v>0.59</v>
      </c>
      <c r="AUW19" s="175">
        <v>0.58</v>
      </c>
      <c r="AUX19" s="175">
        <v>0.57</v>
      </c>
      <c r="AUY19" s="175">
        <v>0.55</v>
      </c>
      <c r="AUZ19" s="175">
        <v>0.53</v>
      </c>
      <c r="AVA19" s="157" t="s">
        <v>67</v>
      </c>
      <c r="AVB19" s="157"/>
      <c r="AVC19" s="157"/>
      <c r="AVD19" s="173">
        <v>0.62</v>
      </c>
      <c r="AVE19" s="173">
        <v>0.61</v>
      </c>
      <c r="AVF19" s="173">
        <v>0.61</v>
      </c>
      <c r="AVG19" s="173">
        <v>0.61</v>
      </c>
      <c r="AVH19" s="173">
        <v>0.6</v>
      </c>
      <c r="AVI19" s="174">
        <v>0.6</v>
      </c>
      <c r="AVJ19" s="173">
        <v>0.6</v>
      </c>
      <c r="AVK19" s="174">
        <v>0.59</v>
      </c>
      <c r="AVL19" s="175">
        <v>0.59</v>
      </c>
      <c r="AVM19" s="175">
        <v>0.58</v>
      </c>
      <c r="AVN19" s="175">
        <v>0.57</v>
      </c>
      <c r="AVO19" s="175">
        <v>0.55</v>
      </c>
      <c r="AVP19" s="175">
        <v>0.53</v>
      </c>
      <c r="AVQ19" s="157" t="s">
        <v>67</v>
      </c>
      <c r="AVR19" s="157"/>
      <c r="AVS19" s="157"/>
      <c r="AVT19" s="173">
        <v>0.62</v>
      </c>
      <c r="AVU19" s="173">
        <v>0.61</v>
      </c>
      <c r="AVV19" s="173">
        <v>0.61</v>
      </c>
      <c r="AVW19" s="173">
        <v>0.61</v>
      </c>
      <c r="AVX19" s="173">
        <v>0.6</v>
      </c>
      <c r="AVY19" s="174">
        <v>0.6</v>
      </c>
      <c r="AVZ19" s="173">
        <v>0.6</v>
      </c>
      <c r="AWA19" s="174">
        <v>0.59</v>
      </c>
      <c r="AWB19" s="175">
        <v>0.59</v>
      </c>
      <c r="AWC19" s="175">
        <v>0.58</v>
      </c>
      <c r="AWD19" s="175">
        <v>0.57</v>
      </c>
      <c r="AWE19" s="175">
        <v>0.55</v>
      </c>
      <c r="AWF19" s="175">
        <v>0.53</v>
      </c>
      <c r="AWG19" s="157" t="s">
        <v>67</v>
      </c>
      <c r="AWH19" s="157"/>
      <c r="AWI19" s="157"/>
      <c r="AWJ19" s="173">
        <v>0.62</v>
      </c>
      <c r="AWK19" s="173">
        <v>0.61</v>
      </c>
      <c r="AWL19" s="173">
        <v>0.61</v>
      </c>
      <c r="AWM19" s="173">
        <v>0.61</v>
      </c>
      <c r="AWN19" s="173">
        <v>0.6</v>
      </c>
      <c r="AWO19" s="174">
        <v>0.6</v>
      </c>
      <c r="AWP19" s="173">
        <v>0.6</v>
      </c>
      <c r="AWQ19" s="174">
        <v>0.59</v>
      </c>
      <c r="AWR19" s="175">
        <v>0.59</v>
      </c>
      <c r="AWS19" s="175">
        <v>0.58</v>
      </c>
      <c r="AWT19" s="175">
        <v>0.57</v>
      </c>
      <c r="AWU19" s="175">
        <v>0.55</v>
      </c>
      <c r="AWV19" s="175">
        <v>0.53</v>
      </c>
      <c r="AWW19" s="157" t="s">
        <v>67</v>
      </c>
      <c r="AWX19" s="157"/>
      <c r="AWY19" s="157"/>
      <c r="AWZ19" s="173">
        <v>0.62</v>
      </c>
      <c r="AXA19" s="173">
        <v>0.61</v>
      </c>
      <c r="AXB19" s="173">
        <v>0.61</v>
      </c>
      <c r="AXC19" s="173">
        <v>0.61</v>
      </c>
      <c r="AXD19" s="173">
        <v>0.6</v>
      </c>
      <c r="AXE19" s="174">
        <v>0.6</v>
      </c>
      <c r="AXF19" s="173">
        <v>0.6</v>
      </c>
      <c r="AXG19" s="174">
        <v>0.59</v>
      </c>
      <c r="AXH19" s="175">
        <v>0.59</v>
      </c>
      <c r="AXI19" s="175">
        <v>0.58</v>
      </c>
      <c r="AXJ19" s="175">
        <v>0.57</v>
      </c>
      <c r="AXK19" s="175">
        <v>0.55</v>
      </c>
      <c r="AXL19" s="175">
        <v>0.53</v>
      </c>
      <c r="AXM19" s="157" t="s">
        <v>67</v>
      </c>
      <c r="AXN19" s="157"/>
      <c r="AXO19" s="157"/>
      <c r="AXP19" s="173">
        <v>0.62</v>
      </c>
      <c r="AXQ19" s="173">
        <v>0.61</v>
      </c>
      <c r="AXR19" s="173">
        <v>0.61</v>
      </c>
      <c r="AXS19" s="173">
        <v>0.61</v>
      </c>
      <c r="AXT19" s="173">
        <v>0.6</v>
      </c>
      <c r="AXU19" s="174">
        <v>0.6</v>
      </c>
      <c r="AXV19" s="173">
        <v>0.6</v>
      </c>
      <c r="AXW19" s="174">
        <v>0.59</v>
      </c>
      <c r="AXX19" s="175">
        <v>0.59</v>
      </c>
      <c r="AXY19" s="175">
        <v>0.58</v>
      </c>
      <c r="AXZ19" s="175">
        <v>0.57</v>
      </c>
      <c r="AYA19" s="175">
        <v>0.55</v>
      </c>
      <c r="AYB19" s="175">
        <v>0.53</v>
      </c>
      <c r="AYC19" s="157" t="s">
        <v>67</v>
      </c>
      <c r="AYD19" s="157"/>
      <c r="AYE19" s="157"/>
      <c r="AYF19" s="173">
        <v>0.62</v>
      </c>
      <c r="AYG19" s="173">
        <v>0.61</v>
      </c>
      <c r="AYH19" s="173">
        <v>0.61</v>
      </c>
      <c r="AYI19" s="173">
        <v>0.61</v>
      </c>
      <c r="AYJ19" s="173">
        <v>0.6</v>
      </c>
      <c r="AYK19" s="174">
        <v>0.6</v>
      </c>
      <c r="AYL19" s="173">
        <v>0.6</v>
      </c>
      <c r="AYM19" s="174">
        <v>0.59</v>
      </c>
      <c r="AYN19" s="175">
        <v>0.59</v>
      </c>
      <c r="AYO19" s="175">
        <v>0.58</v>
      </c>
      <c r="AYP19" s="175">
        <v>0.57</v>
      </c>
      <c r="AYQ19" s="175">
        <v>0.55</v>
      </c>
      <c r="AYR19" s="175">
        <v>0.53</v>
      </c>
      <c r="AYS19" s="157" t="s">
        <v>67</v>
      </c>
      <c r="AYT19" s="157"/>
      <c r="AYU19" s="157"/>
      <c r="AYV19" s="173">
        <v>0.62</v>
      </c>
      <c r="AYW19" s="173">
        <v>0.61</v>
      </c>
      <c r="AYX19" s="173">
        <v>0.61</v>
      </c>
      <c r="AYY19" s="173">
        <v>0.61</v>
      </c>
      <c r="AYZ19" s="173">
        <v>0.6</v>
      </c>
      <c r="AZA19" s="174">
        <v>0.6</v>
      </c>
      <c r="AZB19" s="173">
        <v>0.6</v>
      </c>
      <c r="AZC19" s="174">
        <v>0.59</v>
      </c>
      <c r="AZD19" s="175">
        <v>0.59</v>
      </c>
      <c r="AZE19" s="175">
        <v>0.58</v>
      </c>
      <c r="AZF19" s="175">
        <v>0.57</v>
      </c>
      <c r="AZG19" s="175">
        <v>0.55</v>
      </c>
      <c r="AZH19" s="175">
        <v>0.53</v>
      </c>
      <c r="AZI19" s="157" t="s">
        <v>67</v>
      </c>
      <c r="AZJ19" s="157"/>
      <c r="AZK19" s="157"/>
      <c r="AZL19" s="173">
        <v>0.62</v>
      </c>
      <c r="AZM19" s="173">
        <v>0.61</v>
      </c>
      <c r="AZN19" s="173">
        <v>0.61</v>
      </c>
      <c r="AZO19" s="173">
        <v>0.61</v>
      </c>
      <c r="AZP19" s="173">
        <v>0.6</v>
      </c>
      <c r="AZQ19" s="174">
        <v>0.6</v>
      </c>
      <c r="AZR19" s="173">
        <v>0.6</v>
      </c>
      <c r="AZS19" s="174">
        <v>0.59</v>
      </c>
      <c r="AZT19" s="175">
        <v>0.59</v>
      </c>
      <c r="AZU19" s="175">
        <v>0.58</v>
      </c>
      <c r="AZV19" s="175">
        <v>0.57</v>
      </c>
      <c r="AZW19" s="175">
        <v>0.55</v>
      </c>
      <c r="AZX19" s="175">
        <v>0.53</v>
      </c>
      <c r="AZY19" s="157" t="s">
        <v>67</v>
      </c>
      <c r="AZZ19" s="157"/>
      <c r="BAA19" s="157"/>
      <c r="BAB19" s="173">
        <v>0.62</v>
      </c>
      <c r="BAC19" s="173">
        <v>0.61</v>
      </c>
      <c r="BAD19" s="173">
        <v>0.61</v>
      </c>
      <c r="BAE19" s="173">
        <v>0.61</v>
      </c>
      <c r="BAF19" s="173">
        <v>0.6</v>
      </c>
      <c r="BAG19" s="174">
        <v>0.6</v>
      </c>
      <c r="BAH19" s="173">
        <v>0.6</v>
      </c>
      <c r="BAI19" s="174">
        <v>0.59</v>
      </c>
      <c r="BAJ19" s="175">
        <v>0.59</v>
      </c>
      <c r="BAK19" s="175">
        <v>0.58</v>
      </c>
      <c r="BAL19" s="175">
        <v>0.57</v>
      </c>
      <c r="BAM19" s="175">
        <v>0.55</v>
      </c>
      <c r="BAN19" s="175">
        <v>0.53</v>
      </c>
      <c r="BAO19" s="157" t="s">
        <v>67</v>
      </c>
      <c r="BAP19" s="157"/>
      <c r="BAQ19" s="157"/>
      <c r="BAR19" s="173">
        <v>0.62</v>
      </c>
      <c r="BAS19" s="173">
        <v>0.61</v>
      </c>
      <c r="BAT19" s="173">
        <v>0.61</v>
      </c>
      <c r="BAU19" s="173">
        <v>0.61</v>
      </c>
      <c r="BAV19" s="173">
        <v>0.6</v>
      </c>
      <c r="BAW19" s="174">
        <v>0.6</v>
      </c>
      <c r="BAX19" s="173">
        <v>0.6</v>
      </c>
      <c r="BAY19" s="174">
        <v>0.59</v>
      </c>
      <c r="BAZ19" s="175">
        <v>0.59</v>
      </c>
      <c r="BBA19" s="175">
        <v>0.58</v>
      </c>
      <c r="BBB19" s="175">
        <v>0.57</v>
      </c>
      <c r="BBC19" s="175">
        <v>0.55</v>
      </c>
      <c r="BBD19" s="175">
        <v>0.53</v>
      </c>
      <c r="BBE19" s="157" t="s">
        <v>67</v>
      </c>
      <c r="BBF19" s="157"/>
      <c r="BBG19" s="157"/>
      <c r="BBH19" s="173">
        <v>0.62</v>
      </c>
      <c r="BBI19" s="173">
        <v>0.61</v>
      </c>
      <c r="BBJ19" s="173">
        <v>0.61</v>
      </c>
      <c r="BBK19" s="173">
        <v>0.61</v>
      </c>
      <c r="BBL19" s="173">
        <v>0.6</v>
      </c>
      <c r="BBM19" s="174">
        <v>0.6</v>
      </c>
      <c r="BBN19" s="173">
        <v>0.6</v>
      </c>
      <c r="BBO19" s="174">
        <v>0.59</v>
      </c>
      <c r="BBP19" s="175">
        <v>0.59</v>
      </c>
      <c r="BBQ19" s="175">
        <v>0.58</v>
      </c>
      <c r="BBR19" s="175">
        <v>0.57</v>
      </c>
      <c r="BBS19" s="175">
        <v>0.55</v>
      </c>
      <c r="BBT19" s="175">
        <v>0.53</v>
      </c>
      <c r="BBU19" s="157" t="s">
        <v>67</v>
      </c>
      <c r="BBV19" s="157"/>
      <c r="BBW19" s="157"/>
      <c r="BBX19" s="173">
        <v>0.62</v>
      </c>
      <c r="BBY19" s="173">
        <v>0.61</v>
      </c>
      <c r="BBZ19" s="173">
        <v>0.61</v>
      </c>
      <c r="BCA19" s="173">
        <v>0.61</v>
      </c>
      <c r="BCB19" s="173">
        <v>0.6</v>
      </c>
      <c r="BCC19" s="174">
        <v>0.6</v>
      </c>
      <c r="BCD19" s="173">
        <v>0.6</v>
      </c>
      <c r="BCE19" s="174">
        <v>0.59</v>
      </c>
      <c r="BCF19" s="175">
        <v>0.59</v>
      </c>
      <c r="BCG19" s="175">
        <v>0.58</v>
      </c>
      <c r="BCH19" s="175">
        <v>0.57</v>
      </c>
      <c r="BCI19" s="175">
        <v>0.55</v>
      </c>
      <c r="BCJ19" s="175">
        <v>0.53</v>
      </c>
      <c r="BCK19" s="157" t="s">
        <v>67</v>
      </c>
      <c r="BCL19" s="157"/>
      <c r="BCM19" s="157"/>
      <c r="BCN19" s="173">
        <v>0.62</v>
      </c>
      <c r="BCO19" s="173">
        <v>0.61</v>
      </c>
      <c r="BCP19" s="173">
        <v>0.61</v>
      </c>
      <c r="BCQ19" s="173">
        <v>0.61</v>
      </c>
      <c r="BCR19" s="173">
        <v>0.6</v>
      </c>
      <c r="BCS19" s="174">
        <v>0.6</v>
      </c>
      <c r="BCT19" s="173">
        <v>0.6</v>
      </c>
      <c r="BCU19" s="174">
        <v>0.59</v>
      </c>
      <c r="BCV19" s="175">
        <v>0.59</v>
      </c>
      <c r="BCW19" s="175">
        <v>0.58</v>
      </c>
      <c r="BCX19" s="175">
        <v>0.57</v>
      </c>
      <c r="BCY19" s="175">
        <v>0.55</v>
      </c>
      <c r="BCZ19" s="175">
        <v>0.53</v>
      </c>
      <c r="BDA19" s="157" t="s">
        <v>67</v>
      </c>
      <c r="BDB19" s="157"/>
      <c r="BDC19" s="157"/>
      <c r="BDD19" s="173">
        <v>0.62</v>
      </c>
      <c r="BDE19" s="173">
        <v>0.61</v>
      </c>
      <c r="BDF19" s="173">
        <v>0.61</v>
      </c>
      <c r="BDG19" s="173">
        <v>0.61</v>
      </c>
      <c r="BDH19" s="173">
        <v>0.6</v>
      </c>
      <c r="BDI19" s="174">
        <v>0.6</v>
      </c>
      <c r="BDJ19" s="173">
        <v>0.6</v>
      </c>
      <c r="BDK19" s="174">
        <v>0.59</v>
      </c>
      <c r="BDL19" s="175">
        <v>0.59</v>
      </c>
      <c r="BDM19" s="175">
        <v>0.58</v>
      </c>
      <c r="BDN19" s="175">
        <v>0.57</v>
      </c>
      <c r="BDO19" s="175">
        <v>0.55</v>
      </c>
      <c r="BDP19" s="175">
        <v>0.53</v>
      </c>
      <c r="BDQ19" s="157" t="s">
        <v>67</v>
      </c>
      <c r="BDR19" s="157"/>
      <c r="BDS19" s="157"/>
      <c r="BDT19" s="173">
        <v>0.62</v>
      </c>
      <c r="BDU19" s="173">
        <v>0.61</v>
      </c>
      <c r="BDV19" s="173">
        <v>0.61</v>
      </c>
      <c r="BDW19" s="173">
        <v>0.61</v>
      </c>
      <c r="BDX19" s="173">
        <v>0.6</v>
      </c>
      <c r="BDY19" s="174">
        <v>0.6</v>
      </c>
      <c r="BDZ19" s="173">
        <v>0.6</v>
      </c>
      <c r="BEA19" s="174">
        <v>0.59</v>
      </c>
      <c r="BEB19" s="175">
        <v>0.59</v>
      </c>
      <c r="BEC19" s="175">
        <v>0.58</v>
      </c>
      <c r="BED19" s="175">
        <v>0.57</v>
      </c>
      <c r="BEE19" s="175">
        <v>0.55</v>
      </c>
      <c r="BEF19" s="175">
        <v>0.53</v>
      </c>
      <c r="BEG19" s="157" t="s">
        <v>67</v>
      </c>
      <c r="BEH19" s="157"/>
      <c r="BEI19" s="157"/>
      <c r="BEJ19" s="173">
        <v>0.62</v>
      </c>
      <c r="BEK19" s="173">
        <v>0.61</v>
      </c>
      <c r="BEL19" s="173">
        <v>0.61</v>
      </c>
      <c r="BEM19" s="173">
        <v>0.61</v>
      </c>
      <c r="BEN19" s="173">
        <v>0.6</v>
      </c>
      <c r="BEO19" s="174">
        <v>0.6</v>
      </c>
      <c r="BEP19" s="173">
        <v>0.6</v>
      </c>
      <c r="BEQ19" s="174">
        <v>0.59</v>
      </c>
      <c r="BER19" s="175">
        <v>0.59</v>
      </c>
      <c r="BES19" s="175">
        <v>0.58</v>
      </c>
      <c r="BET19" s="175">
        <v>0.57</v>
      </c>
      <c r="BEU19" s="175">
        <v>0.55</v>
      </c>
      <c r="BEV19" s="175">
        <v>0.53</v>
      </c>
      <c r="BEW19" s="157" t="s">
        <v>67</v>
      </c>
      <c r="BEX19" s="157"/>
      <c r="BEY19" s="157"/>
      <c r="BEZ19" s="173">
        <v>0.62</v>
      </c>
      <c r="BFA19" s="173">
        <v>0.61</v>
      </c>
      <c r="BFB19" s="173">
        <v>0.61</v>
      </c>
      <c r="BFC19" s="173">
        <v>0.61</v>
      </c>
      <c r="BFD19" s="173">
        <v>0.6</v>
      </c>
      <c r="BFE19" s="174">
        <v>0.6</v>
      </c>
      <c r="BFF19" s="173">
        <v>0.6</v>
      </c>
      <c r="BFG19" s="174">
        <v>0.59</v>
      </c>
      <c r="BFH19" s="175">
        <v>0.59</v>
      </c>
      <c r="BFI19" s="175">
        <v>0.58</v>
      </c>
      <c r="BFJ19" s="175">
        <v>0.57</v>
      </c>
      <c r="BFK19" s="175">
        <v>0.55</v>
      </c>
      <c r="BFL19" s="175">
        <v>0.53</v>
      </c>
      <c r="BFM19" s="157" t="s">
        <v>67</v>
      </c>
      <c r="BFN19" s="157"/>
      <c r="BFO19" s="157"/>
      <c r="BFP19" s="173">
        <v>0.62</v>
      </c>
      <c r="BFQ19" s="173">
        <v>0.61</v>
      </c>
      <c r="BFR19" s="173">
        <v>0.61</v>
      </c>
      <c r="BFS19" s="173">
        <v>0.61</v>
      </c>
      <c r="BFT19" s="173">
        <v>0.6</v>
      </c>
      <c r="BFU19" s="174">
        <v>0.6</v>
      </c>
      <c r="BFV19" s="173">
        <v>0.6</v>
      </c>
      <c r="BFW19" s="174">
        <v>0.59</v>
      </c>
      <c r="BFX19" s="175">
        <v>0.59</v>
      </c>
      <c r="BFY19" s="175">
        <v>0.58</v>
      </c>
      <c r="BFZ19" s="175">
        <v>0.57</v>
      </c>
      <c r="BGA19" s="175">
        <v>0.55</v>
      </c>
      <c r="BGB19" s="175">
        <v>0.53</v>
      </c>
      <c r="BGC19" s="157" t="s">
        <v>67</v>
      </c>
      <c r="BGD19" s="157"/>
      <c r="BGE19" s="157"/>
      <c r="BGF19" s="173">
        <v>0.62</v>
      </c>
      <c r="BGG19" s="173">
        <v>0.61</v>
      </c>
      <c r="BGH19" s="173">
        <v>0.61</v>
      </c>
      <c r="BGI19" s="173">
        <v>0.61</v>
      </c>
      <c r="BGJ19" s="173">
        <v>0.6</v>
      </c>
      <c r="BGK19" s="174">
        <v>0.6</v>
      </c>
      <c r="BGL19" s="173">
        <v>0.6</v>
      </c>
      <c r="BGM19" s="174">
        <v>0.59</v>
      </c>
      <c r="BGN19" s="175">
        <v>0.59</v>
      </c>
      <c r="BGO19" s="175">
        <v>0.58</v>
      </c>
      <c r="BGP19" s="175">
        <v>0.57</v>
      </c>
      <c r="BGQ19" s="175">
        <v>0.55</v>
      </c>
      <c r="BGR19" s="175">
        <v>0.53</v>
      </c>
      <c r="BGS19" s="157" t="s">
        <v>67</v>
      </c>
      <c r="BGT19" s="157"/>
      <c r="BGU19" s="157"/>
      <c r="BGV19" s="173">
        <v>0.62</v>
      </c>
      <c r="BGW19" s="173">
        <v>0.61</v>
      </c>
      <c r="BGX19" s="173">
        <v>0.61</v>
      </c>
      <c r="BGY19" s="173">
        <v>0.61</v>
      </c>
      <c r="BGZ19" s="173">
        <v>0.6</v>
      </c>
      <c r="BHA19" s="174">
        <v>0.6</v>
      </c>
      <c r="BHB19" s="173">
        <v>0.6</v>
      </c>
      <c r="BHC19" s="174">
        <v>0.59</v>
      </c>
      <c r="BHD19" s="175">
        <v>0.59</v>
      </c>
      <c r="BHE19" s="175">
        <v>0.58</v>
      </c>
      <c r="BHF19" s="175">
        <v>0.57</v>
      </c>
      <c r="BHG19" s="175">
        <v>0.55</v>
      </c>
      <c r="BHH19" s="175">
        <v>0.53</v>
      </c>
      <c r="BHI19" s="157" t="s">
        <v>67</v>
      </c>
      <c r="BHJ19" s="157"/>
      <c r="BHK19" s="157"/>
      <c r="BHL19" s="173">
        <v>0.62</v>
      </c>
      <c r="BHM19" s="173">
        <v>0.61</v>
      </c>
      <c r="BHN19" s="173">
        <v>0.61</v>
      </c>
      <c r="BHO19" s="173">
        <v>0.61</v>
      </c>
      <c r="BHP19" s="173">
        <v>0.6</v>
      </c>
      <c r="BHQ19" s="174">
        <v>0.6</v>
      </c>
      <c r="BHR19" s="173">
        <v>0.6</v>
      </c>
      <c r="BHS19" s="174">
        <v>0.59</v>
      </c>
      <c r="BHT19" s="175">
        <v>0.59</v>
      </c>
      <c r="BHU19" s="175">
        <v>0.58</v>
      </c>
      <c r="BHV19" s="175">
        <v>0.57</v>
      </c>
      <c r="BHW19" s="175">
        <v>0.55</v>
      </c>
      <c r="BHX19" s="175">
        <v>0.53</v>
      </c>
      <c r="BHY19" s="157" t="s">
        <v>67</v>
      </c>
      <c r="BHZ19" s="157"/>
      <c r="BIA19" s="157"/>
      <c r="BIB19" s="173">
        <v>0.62</v>
      </c>
      <c r="BIC19" s="173">
        <v>0.61</v>
      </c>
      <c r="BID19" s="173">
        <v>0.61</v>
      </c>
      <c r="BIE19" s="173">
        <v>0.61</v>
      </c>
      <c r="BIF19" s="173">
        <v>0.6</v>
      </c>
      <c r="BIG19" s="174">
        <v>0.6</v>
      </c>
      <c r="BIH19" s="173">
        <v>0.6</v>
      </c>
      <c r="BII19" s="174">
        <v>0.59</v>
      </c>
      <c r="BIJ19" s="175">
        <v>0.59</v>
      </c>
      <c r="BIK19" s="175">
        <v>0.58</v>
      </c>
      <c r="BIL19" s="175">
        <v>0.57</v>
      </c>
      <c r="BIM19" s="175">
        <v>0.55</v>
      </c>
      <c r="BIN19" s="175">
        <v>0.53</v>
      </c>
      <c r="BIO19" s="157" t="s">
        <v>67</v>
      </c>
      <c r="BIP19" s="157"/>
      <c r="BIQ19" s="157"/>
      <c r="BIR19" s="173">
        <v>0.62</v>
      </c>
      <c r="BIS19" s="173">
        <v>0.61</v>
      </c>
      <c r="BIT19" s="173">
        <v>0.61</v>
      </c>
      <c r="BIU19" s="173">
        <v>0.61</v>
      </c>
      <c r="BIV19" s="173">
        <v>0.6</v>
      </c>
      <c r="BIW19" s="174">
        <v>0.6</v>
      </c>
      <c r="BIX19" s="173">
        <v>0.6</v>
      </c>
      <c r="BIY19" s="174">
        <v>0.59</v>
      </c>
      <c r="BIZ19" s="175">
        <v>0.59</v>
      </c>
      <c r="BJA19" s="175">
        <v>0.58</v>
      </c>
      <c r="BJB19" s="175">
        <v>0.57</v>
      </c>
      <c r="BJC19" s="175">
        <v>0.55</v>
      </c>
      <c r="BJD19" s="175">
        <v>0.53</v>
      </c>
      <c r="BJE19" s="157" t="s">
        <v>67</v>
      </c>
      <c r="BJF19" s="157"/>
      <c r="BJG19" s="157"/>
      <c r="BJH19" s="173">
        <v>0.62</v>
      </c>
      <c r="BJI19" s="173">
        <v>0.61</v>
      </c>
      <c r="BJJ19" s="173">
        <v>0.61</v>
      </c>
      <c r="BJK19" s="173">
        <v>0.61</v>
      </c>
      <c r="BJL19" s="173">
        <v>0.6</v>
      </c>
      <c r="BJM19" s="174">
        <v>0.6</v>
      </c>
      <c r="BJN19" s="173">
        <v>0.6</v>
      </c>
      <c r="BJO19" s="174">
        <v>0.59</v>
      </c>
      <c r="BJP19" s="175">
        <v>0.59</v>
      </c>
      <c r="BJQ19" s="175">
        <v>0.58</v>
      </c>
      <c r="BJR19" s="175">
        <v>0.57</v>
      </c>
      <c r="BJS19" s="175">
        <v>0.55</v>
      </c>
      <c r="BJT19" s="175">
        <v>0.53</v>
      </c>
      <c r="BJU19" s="157" t="s">
        <v>67</v>
      </c>
      <c r="BJV19" s="157"/>
      <c r="BJW19" s="157"/>
      <c r="BJX19" s="173">
        <v>0.62</v>
      </c>
      <c r="BJY19" s="173">
        <v>0.61</v>
      </c>
      <c r="BJZ19" s="173">
        <v>0.61</v>
      </c>
      <c r="BKA19" s="173">
        <v>0.61</v>
      </c>
      <c r="BKB19" s="173">
        <v>0.6</v>
      </c>
      <c r="BKC19" s="174">
        <v>0.6</v>
      </c>
      <c r="BKD19" s="173">
        <v>0.6</v>
      </c>
      <c r="BKE19" s="174">
        <v>0.59</v>
      </c>
      <c r="BKF19" s="175">
        <v>0.59</v>
      </c>
      <c r="BKG19" s="175">
        <v>0.58</v>
      </c>
      <c r="BKH19" s="175">
        <v>0.57</v>
      </c>
      <c r="BKI19" s="175">
        <v>0.55</v>
      </c>
      <c r="BKJ19" s="175">
        <v>0.53</v>
      </c>
      <c r="BKK19" s="157" t="s">
        <v>67</v>
      </c>
      <c r="BKL19" s="157"/>
      <c r="BKM19" s="157"/>
      <c r="BKN19" s="173">
        <v>0.62</v>
      </c>
      <c r="BKO19" s="173">
        <v>0.61</v>
      </c>
      <c r="BKP19" s="173">
        <v>0.61</v>
      </c>
      <c r="BKQ19" s="173">
        <v>0.61</v>
      </c>
      <c r="BKR19" s="173">
        <v>0.6</v>
      </c>
      <c r="BKS19" s="174">
        <v>0.6</v>
      </c>
      <c r="BKT19" s="173">
        <v>0.6</v>
      </c>
      <c r="BKU19" s="174">
        <v>0.59</v>
      </c>
      <c r="BKV19" s="175">
        <v>0.59</v>
      </c>
      <c r="BKW19" s="175">
        <v>0.58</v>
      </c>
      <c r="BKX19" s="175">
        <v>0.57</v>
      </c>
      <c r="BKY19" s="175">
        <v>0.55</v>
      </c>
      <c r="BKZ19" s="175">
        <v>0.53</v>
      </c>
      <c r="BLA19" s="157" t="s">
        <v>67</v>
      </c>
      <c r="BLB19" s="157"/>
      <c r="BLC19" s="157"/>
      <c r="BLD19" s="173">
        <v>0.62</v>
      </c>
      <c r="BLE19" s="173">
        <v>0.61</v>
      </c>
      <c r="BLF19" s="173">
        <v>0.61</v>
      </c>
      <c r="BLG19" s="173">
        <v>0.61</v>
      </c>
      <c r="BLH19" s="173">
        <v>0.6</v>
      </c>
      <c r="BLI19" s="174">
        <v>0.6</v>
      </c>
      <c r="BLJ19" s="173">
        <v>0.6</v>
      </c>
      <c r="BLK19" s="174">
        <v>0.59</v>
      </c>
      <c r="BLL19" s="175">
        <v>0.59</v>
      </c>
      <c r="BLM19" s="175">
        <v>0.58</v>
      </c>
      <c r="BLN19" s="175">
        <v>0.57</v>
      </c>
      <c r="BLO19" s="175">
        <v>0.55</v>
      </c>
      <c r="BLP19" s="175">
        <v>0.53</v>
      </c>
      <c r="BLQ19" s="157" t="s">
        <v>67</v>
      </c>
      <c r="BLR19" s="157"/>
      <c r="BLS19" s="157"/>
      <c r="BLT19" s="173">
        <v>0.62</v>
      </c>
      <c r="BLU19" s="173">
        <v>0.61</v>
      </c>
      <c r="BLV19" s="173">
        <v>0.61</v>
      </c>
      <c r="BLW19" s="173">
        <v>0.61</v>
      </c>
      <c r="BLX19" s="173">
        <v>0.6</v>
      </c>
      <c r="BLY19" s="174">
        <v>0.6</v>
      </c>
      <c r="BLZ19" s="173">
        <v>0.6</v>
      </c>
      <c r="BMA19" s="174">
        <v>0.59</v>
      </c>
      <c r="BMB19" s="175">
        <v>0.59</v>
      </c>
      <c r="BMC19" s="175">
        <v>0.58</v>
      </c>
      <c r="BMD19" s="175">
        <v>0.57</v>
      </c>
      <c r="BME19" s="175">
        <v>0.55</v>
      </c>
      <c r="BMF19" s="175">
        <v>0.53</v>
      </c>
      <c r="BMG19" s="157" t="s">
        <v>67</v>
      </c>
      <c r="BMH19" s="157"/>
      <c r="BMI19" s="157"/>
      <c r="BMJ19" s="173">
        <v>0.62</v>
      </c>
      <c r="BMK19" s="173">
        <v>0.61</v>
      </c>
      <c r="BML19" s="173">
        <v>0.61</v>
      </c>
      <c r="BMM19" s="173">
        <v>0.61</v>
      </c>
      <c r="BMN19" s="173">
        <v>0.6</v>
      </c>
      <c r="BMO19" s="174">
        <v>0.6</v>
      </c>
      <c r="BMP19" s="173">
        <v>0.6</v>
      </c>
      <c r="BMQ19" s="174">
        <v>0.59</v>
      </c>
      <c r="BMR19" s="175">
        <v>0.59</v>
      </c>
      <c r="BMS19" s="175">
        <v>0.58</v>
      </c>
      <c r="BMT19" s="175">
        <v>0.57</v>
      </c>
      <c r="BMU19" s="175">
        <v>0.55</v>
      </c>
      <c r="BMV19" s="175">
        <v>0.53</v>
      </c>
      <c r="BMW19" s="157" t="s">
        <v>67</v>
      </c>
      <c r="BMX19" s="157"/>
      <c r="BMY19" s="157"/>
      <c r="BMZ19" s="173">
        <v>0.62</v>
      </c>
      <c r="BNA19" s="173">
        <v>0.61</v>
      </c>
      <c r="BNB19" s="173">
        <v>0.61</v>
      </c>
      <c r="BNC19" s="173">
        <v>0.61</v>
      </c>
      <c r="BND19" s="173">
        <v>0.6</v>
      </c>
      <c r="BNE19" s="174">
        <v>0.6</v>
      </c>
      <c r="BNF19" s="173">
        <v>0.6</v>
      </c>
      <c r="BNG19" s="174">
        <v>0.59</v>
      </c>
      <c r="BNH19" s="175">
        <v>0.59</v>
      </c>
      <c r="BNI19" s="175">
        <v>0.58</v>
      </c>
      <c r="BNJ19" s="175">
        <v>0.57</v>
      </c>
      <c r="BNK19" s="175">
        <v>0.55</v>
      </c>
      <c r="BNL19" s="175">
        <v>0.53</v>
      </c>
      <c r="BNM19" s="157" t="s">
        <v>67</v>
      </c>
      <c r="BNN19" s="157"/>
      <c r="BNO19" s="157"/>
      <c r="BNP19" s="173">
        <v>0.62</v>
      </c>
      <c r="BNQ19" s="173">
        <v>0.61</v>
      </c>
      <c r="BNR19" s="173">
        <v>0.61</v>
      </c>
      <c r="BNS19" s="173">
        <v>0.61</v>
      </c>
      <c r="BNT19" s="173">
        <v>0.6</v>
      </c>
      <c r="BNU19" s="174">
        <v>0.6</v>
      </c>
      <c r="BNV19" s="173">
        <v>0.6</v>
      </c>
      <c r="BNW19" s="174">
        <v>0.59</v>
      </c>
      <c r="BNX19" s="175">
        <v>0.59</v>
      </c>
      <c r="BNY19" s="175">
        <v>0.58</v>
      </c>
      <c r="BNZ19" s="175">
        <v>0.57</v>
      </c>
      <c r="BOA19" s="175">
        <v>0.55</v>
      </c>
      <c r="BOB19" s="175">
        <v>0.53</v>
      </c>
      <c r="BOC19" s="157" t="s">
        <v>67</v>
      </c>
      <c r="BOD19" s="157"/>
      <c r="BOE19" s="157"/>
      <c r="BOF19" s="173">
        <v>0.62</v>
      </c>
      <c r="BOG19" s="173">
        <v>0.61</v>
      </c>
      <c r="BOH19" s="173">
        <v>0.61</v>
      </c>
      <c r="BOI19" s="173">
        <v>0.61</v>
      </c>
      <c r="BOJ19" s="173">
        <v>0.6</v>
      </c>
      <c r="BOK19" s="174">
        <v>0.6</v>
      </c>
      <c r="BOL19" s="173">
        <v>0.6</v>
      </c>
      <c r="BOM19" s="174">
        <v>0.59</v>
      </c>
      <c r="BON19" s="175">
        <v>0.59</v>
      </c>
      <c r="BOO19" s="175">
        <v>0.58</v>
      </c>
      <c r="BOP19" s="175">
        <v>0.57</v>
      </c>
      <c r="BOQ19" s="175">
        <v>0.55</v>
      </c>
      <c r="BOR19" s="175">
        <v>0.53</v>
      </c>
      <c r="BOS19" s="157" t="s">
        <v>67</v>
      </c>
      <c r="BOT19" s="157"/>
      <c r="BOU19" s="157"/>
      <c r="BOV19" s="173">
        <v>0.62</v>
      </c>
      <c r="BOW19" s="173">
        <v>0.61</v>
      </c>
      <c r="BOX19" s="173">
        <v>0.61</v>
      </c>
      <c r="BOY19" s="173">
        <v>0.61</v>
      </c>
      <c r="BOZ19" s="173">
        <v>0.6</v>
      </c>
      <c r="BPA19" s="174">
        <v>0.6</v>
      </c>
      <c r="BPB19" s="173">
        <v>0.6</v>
      </c>
      <c r="BPC19" s="174">
        <v>0.59</v>
      </c>
      <c r="BPD19" s="175">
        <v>0.59</v>
      </c>
      <c r="BPE19" s="175">
        <v>0.58</v>
      </c>
      <c r="BPF19" s="175">
        <v>0.57</v>
      </c>
      <c r="BPG19" s="175">
        <v>0.55</v>
      </c>
      <c r="BPH19" s="175">
        <v>0.53</v>
      </c>
      <c r="BPI19" s="157" t="s">
        <v>67</v>
      </c>
      <c r="BPJ19" s="157"/>
      <c r="BPK19" s="157"/>
      <c r="BPL19" s="173">
        <v>0.62</v>
      </c>
      <c r="BPM19" s="173">
        <v>0.61</v>
      </c>
      <c r="BPN19" s="173">
        <v>0.61</v>
      </c>
      <c r="BPO19" s="173">
        <v>0.61</v>
      </c>
      <c r="BPP19" s="173">
        <v>0.6</v>
      </c>
      <c r="BPQ19" s="174">
        <v>0.6</v>
      </c>
      <c r="BPR19" s="173">
        <v>0.6</v>
      </c>
      <c r="BPS19" s="174">
        <v>0.59</v>
      </c>
      <c r="BPT19" s="175">
        <v>0.59</v>
      </c>
      <c r="BPU19" s="175">
        <v>0.58</v>
      </c>
      <c r="BPV19" s="175">
        <v>0.57</v>
      </c>
      <c r="BPW19" s="175">
        <v>0.55</v>
      </c>
      <c r="BPX19" s="175">
        <v>0.53</v>
      </c>
      <c r="BPY19" s="157" t="s">
        <v>67</v>
      </c>
      <c r="BPZ19" s="157"/>
      <c r="BQA19" s="157"/>
      <c r="BQB19" s="173">
        <v>0.62</v>
      </c>
      <c r="BQC19" s="173">
        <v>0.61</v>
      </c>
      <c r="BQD19" s="173">
        <v>0.61</v>
      </c>
      <c r="BQE19" s="173">
        <v>0.61</v>
      </c>
      <c r="BQF19" s="173">
        <v>0.6</v>
      </c>
      <c r="BQG19" s="174">
        <v>0.6</v>
      </c>
      <c r="BQH19" s="173">
        <v>0.6</v>
      </c>
      <c r="BQI19" s="174">
        <v>0.59</v>
      </c>
      <c r="BQJ19" s="175">
        <v>0.59</v>
      </c>
      <c r="BQK19" s="175">
        <v>0.58</v>
      </c>
      <c r="BQL19" s="175">
        <v>0.57</v>
      </c>
      <c r="BQM19" s="175">
        <v>0.55</v>
      </c>
      <c r="BQN19" s="175">
        <v>0.53</v>
      </c>
      <c r="BQO19" s="157" t="s">
        <v>67</v>
      </c>
      <c r="BQP19" s="157"/>
      <c r="BQQ19" s="157"/>
      <c r="BQR19" s="173">
        <v>0.62</v>
      </c>
      <c r="BQS19" s="173">
        <v>0.61</v>
      </c>
      <c r="BQT19" s="173">
        <v>0.61</v>
      </c>
      <c r="BQU19" s="173">
        <v>0.61</v>
      </c>
      <c r="BQV19" s="173">
        <v>0.6</v>
      </c>
      <c r="BQW19" s="174">
        <v>0.6</v>
      </c>
      <c r="BQX19" s="173">
        <v>0.6</v>
      </c>
      <c r="BQY19" s="174">
        <v>0.59</v>
      </c>
      <c r="BQZ19" s="175">
        <v>0.59</v>
      </c>
      <c r="BRA19" s="175">
        <v>0.58</v>
      </c>
      <c r="BRB19" s="175">
        <v>0.57</v>
      </c>
      <c r="BRC19" s="175">
        <v>0.55</v>
      </c>
      <c r="BRD19" s="175">
        <v>0.53</v>
      </c>
      <c r="BRE19" s="157" t="s">
        <v>67</v>
      </c>
      <c r="BRF19" s="157"/>
      <c r="BRG19" s="157"/>
      <c r="BRH19" s="173">
        <v>0.62</v>
      </c>
      <c r="BRI19" s="173">
        <v>0.61</v>
      </c>
      <c r="BRJ19" s="173">
        <v>0.61</v>
      </c>
      <c r="BRK19" s="173">
        <v>0.61</v>
      </c>
      <c r="BRL19" s="173">
        <v>0.6</v>
      </c>
      <c r="BRM19" s="174">
        <v>0.6</v>
      </c>
      <c r="BRN19" s="173">
        <v>0.6</v>
      </c>
      <c r="BRO19" s="174">
        <v>0.59</v>
      </c>
      <c r="BRP19" s="175">
        <v>0.59</v>
      </c>
      <c r="BRQ19" s="175">
        <v>0.58</v>
      </c>
      <c r="BRR19" s="175">
        <v>0.57</v>
      </c>
      <c r="BRS19" s="175">
        <v>0.55</v>
      </c>
      <c r="BRT19" s="175">
        <v>0.53</v>
      </c>
      <c r="BRU19" s="157" t="s">
        <v>67</v>
      </c>
      <c r="BRV19" s="157"/>
      <c r="BRW19" s="157"/>
      <c r="BRX19" s="173">
        <v>0.62</v>
      </c>
      <c r="BRY19" s="173">
        <v>0.61</v>
      </c>
      <c r="BRZ19" s="173">
        <v>0.61</v>
      </c>
      <c r="BSA19" s="173">
        <v>0.61</v>
      </c>
      <c r="BSB19" s="173">
        <v>0.6</v>
      </c>
      <c r="BSC19" s="174">
        <v>0.6</v>
      </c>
      <c r="BSD19" s="173">
        <v>0.6</v>
      </c>
      <c r="BSE19" s="174">
        <v>0.59</v>
      </c>
      <c r="BSF19" s="175">
        <v>0.59</v>
      </c>
      <c r="BSG19" s="175">
        <v>0.58</v>
      </c>
      <c r="BSH19" s="175">
        <v>0.57</v>
      </c>
      <c r="BSI19" s="175">
        <v>0.55</v>
      </c>
      <c r="BSJ19" s="175">
        <v>0.53</v>
      </c>
      <c r="BSK19" s="157" t="s">
        <v>67</v>
      </c>
      <c r="BSL19" s="157"/>
      <c r="BSM19" s="157"/>
      <c r="BSN19" s="173">
        <v>0.62</v>
      </c>
      <c r="BSO19" s="173">
        <v>0.61</v>
      </c>
      <c r="BSP19" s="173">
        <v>0.61</v>
      </c>
      <c r="BSQ19" s="173">
        <v>0.61</v>
      </c>
      <c r="BSR19" s="173">
        <v>0.6</v>
      </c>
      <c r="BSS19" s="174">
        <v>0.6</v>
      </c>
      <c r="BST19" s="173">
        <v>0.6</v>
      </c>
      <c r="BSU19" s="174">
        <v>0.59</v>
      </c>
      <c r="BSV19" s="175">
        <v>0.59</v>
      </c>
      <c r="BSW19" s="175">
        <v>0.58</v>
      </c>
      <c r="BSX19" s="175">
        <v>0.57</v>
      </c>
      <c r="BSY19" s="175">
        <v>0.55</v>
      </c>
      <c r="BSZ19" s="175">
        <v>0.53</v>
      </c>
      <c r="BTA19" s="157" t="s">
        <v>67</v>
      </c>
      <c r="BTB19" s="157"/>
      <c r="BTC19" s="157"/>
      <c r="BTD19" s="173">
        <v>0.62</v>
      </c>
      <c r="BTE19" s="173">
        <v>0.61</v>
      </c>
      <c r="BTF19" s="173">
        <v>0.61</v>
      </c>
      <c r="BTG19" s="173">
        <v>0.61</v>
      </c>
      <c r="BTH19" s="173">
        <v>0.6</v>
      </c>
      <c r="BTI19" s="174">
        <v>0.6</v>
      </c>
      <c r="BTJ19" s="173">
        <v>0.6</v>
      </c>
      <c r="BTK19" s="174">
        <v>0.59</v>
      </c>
      <c r="BTL19" s="175">
        <v>0.59</v>
      </c>
      <c r="BTM19" s="175">
        <v>0.58</v>
      </c>
      <c r="BTN19" s="175">
        <v>0.57</v>
      </c>
      <c r="BTO19" s="175">
        <v>0.55</v>
      </c>
      <c r="BTP19" s="175">
        <v>0.53</v>
      </c>
      <c r="BTQ19" s="157" t="s">
        <v>67</v>
      </c>
      <c r="BTR19" s="157"/>
      <c r="BTS19" s="157"/>
      <c r="BTT19" s="173">
        <v>0.62</v>
      </c>
      <c r="BTU19" s="173">
        <v>0.61</v>
      </c>
      <c r="BTV19" s="173">
        <v>0.61</v>
      </c>
      <c r="BTW19" s="173">
        <v>0.61</v>
      </c>
      <c r="BTX19" s="173">
        <v>0.6</v>
      </c>
      <c r="BTY19" s="174">
        <v>0.6</v>
      </c>
      <c r="BTZ19" s="173">
        <v>0.6</v>
      </c>
      <c r="BUA19" s="174">
        <v>0.59</v>
      </c>
      <c r="BUB19" s="175">
        <v>0.59</v>
      </c>
      <c r="BUC19" s="175">
        <v>0.58</v>
      </c>
      <c r="BUD19" s="175">
        <v>0.57</v>
      </c>
      <c r="BUE19" s="175">
        <v>0.55</v>
      </c>
      <c r="BUF19" s="175">
        <v>0.53</v>
      </c>
      <c r="BUG19" s="157" t="s">
        <v>67</v>
      </c>
      <c r="BUH19" s="157"/>
      <c r="BUI19" s="157"/>
      <c r="BUJ19" s="173">
        <v>0.62</v>
      </c>
      <c r="BUK19" s="173">
        <v>0.61</v>
      </c>
      <c r="BUL19" s="173">
        <v>0.61</v>
      </c>
      <c r="BUM19" s="173">
        <v>0.61</v>
      </c>
      <c r="BUN19" s="173">
        <v>0.6</v>
      </c>
      <c r="BUO19" s="174">
        <v>0.6</v>
      </c>
      <c r="BUP19" s="173">
        <v>0.6</v>
      </c>
      <c r="BUQ19" s="174">
        <v>0.59</v>
      </c>
      <c r="BUR19" s="175">
        <v>0.59</v>
      </c>
      <c r="BUS19" s="175">
        <v>0.58</v>
      </c>
      <c r="BUT19" s="175">
        <v>0.57</v>
      </c>
      <c r="BUU19" s="175">
        <v>0.55</v>
      </c>
      <c r="BUV19" s="175">
        <v>0.53</v>
      </c>
      <c r="BUW19" s="157" t="s">
        <v>67</v>
      </c>
      <c r="BUX19" s="157"/>
      <c r="BUY19" s="157"/>
      <c r="BUZ19" s="173">
        <v>0.62</v>
      </c>
      <c r="BVA19" s="173">
        <v>0.61</v>
      </c>
      <c r="BVB19" s="173">
        <v>0.61</v>
      </c>
      <c r="BVC19" s="173">
        <v>0.61</v>
      </c>
      <c r="BVD19" s="173">
        <v>0.6</v>
      </c>
      <c r="BVE19" s="174">
        <v>0.6</v>
      </c>
      <c r="BVF19" s="173">
        <v>0.6</v>
      </c>
      <c r="BVG19" s="174">
        <v>0.59</v>
      </c>
      <c r="BVH19" s="175">
        <v>0.59</v>
      </c>
      <c r="BVI19" s="175">
        <v>0.58</v>
      </c>
      <c r="BVJ19" s="175">
        <v>0.57</v>
      </c>
      <c r="BVK19" s="175">
        <v>0.55</v>
      </c>
      <c r="BVL19" s="175">
        <v>0.53</v>
      </c>
      <c r="BVM19" s="157" t="s">
        <v>67</v>
      </c>
      <c r="BVN19" s="157"/>
      <c r="BVO19" s="157"/>
      <c r="BVP19" s="173">
        <v>0.62</v>
      </c>
      <c r="BVQ19" s="173">
        <v>0.61</v>
      </c>
      <c r="BVR19" s="173">
        <v>0.61</v>
      </c>
      <c r="BVS19" s="173">
        <v>0.61</v>
      </c>
      <c r="BVT19" s="173">
        <v>0.6</v>
      </c>
      <c r="BVU19" s="174">
        <v>0.6</v>
      </c>
      <c r="BVV19" s="173">
        <v>0.6</v>
      </c>
      <c r="BVW19" s="174">
        <v>0.59</v>
      </c>
      <c r="BVX19" s="175">
        <v>0.59</v>
      </c>
      <c r="BVY19" s="175">
        <v>0.58</v>
      </c>
      <c r="BVZ19" s="175">
        <v>0.57</v>
      </c>
      <c r="BWA19" s="175">
        <v>0.55</v>
      </c>
      <c r="BWB19" s="175">
        <v>0.53</v>
      </c>
      <c r="BWC19" s="157" t="s">
        <v>67</v>
      </c>
      <c r="BWD19" s="157"/>
      <c r="BWE19" s="157"/>
      <c r="BWF19" s="173">
        <v>0.62</v>
      </c>
      <c r="BWG19" s="173">
        <v>0.61</v>
      </c>
      <c r="BWH19" s="173">
        <v>0.61</v>
      </c>
      <c r="BWI19" s="173">
        <v>0.61</v>
      </c>
      <c r="BWJ19" s="173">
        <v>0.6</v>
      </c>
      <c r="BWK19" s="174">
        <v>0.6</v>
      </c>
      <c r="BWL19" s="173">
        <v>0.6</v>
      </c>
      <c r="BWM19" s="174">
        <v>0.59</v>
      </c>
      <c r="BWN19" s="175">
        <v>0.59</v>
      </c>
      <c r="BWO19" s="175">
        <v>0.58</v>
      </c>
      <c r="BWP19" s="175">
        <v>0.57</v>
      </c>
      <c r="BWQ19" s="175">
        <v>0.55</v>
      </c>
      <c r="BWR19" s="175">
        <v>0.53</v>
      </c>
      <c r="BWS19" s="157" t="s">
        <v>67</v>
      </c>
      <c r="BWT19" s="157"/>
      <c r="BWU19" s="157"/>
      <c r="BWV19" s="173">
        <v>0.62</v>
      </c>
      <c r="BWW19" s="173">
        <v>0.61</v>
      </c>
      <c r="BWX19" s="173">
        <v>0.61</v>
      </c>
      <c r="BWY19" s="173">
        <v>0.61</v>
      </c>
      <c r="BWZ19" s="173">
        <v>0.6</v>
      </c>
      <c r="BXA19" s="174">
        <v>0.6</v>
      </c>
      <c r="BXB19" s="173">
        <v>0.6</v>
      </c>
      <c r="BXC19" s="174">
        <v>0.59</v>
      </c>
      <c r="BXD19" s="175">
        <v>0.59</v>
      </c>
      <c r="BXE19" s="175">
        <v>0.58</v>
      </c>
      <c r="BXF19" s="175">
        <v>0.57</v>
      </c>
      <c r="BXG19" s="175">
        <v>0.55</v>
      </c>
      <c r="BXH19" s="175">
        <v>0.53</v>
      </c>
      <c r="BXI19" s="157" t="s">
        <v>67</v>
      </c>
      <c r="BXJ19" s="157"/>
      <c r="BXK19" s="157"/>
      <c r="BXL19" s="173">
        <v>0.62</v>
      </c>
      <c r="BXM19" s="173">
        <v>0.61</v>
      </c>
      <c r="BXN19" s="173">
        <v>0.61</v>
      </c>
      <c r="BXO19" s="173">
        <v>0.61</v>
      </c>
      <c r="BXP19" s="173">
        <v>0.6</v>
      </c>
      <c r="BXQ19" s="174">
        <v>0.6</v>
      </c>
      <c r="BXR19" s="173">
        <v>0.6</v>
      </c>
      <c r="BXS19" s="174">
        <v>0.59</v>
      </c>
      <c r="BXT19" s="175">
        <v>0.59</v>
      </c>
      <c r="BXU19" s="175">
        <v>0.58</v>
      </c>
      <c r="BXV19" s="175">
        <v>0.57</v>
      </c>
      <c r="BXW19" s="175">
        <v>0.55</v>
      </c>
      <c r="BXX19" s="175">
        <v>0.53</v>
      </c>
      <c r="BXY19" s="157" t="s">
        <v>67</v>
      </c>
      <c r="BXZ19" s="157"/>
      <c r="BYA19" s="157"/>
      <c r="BYB19" s="173">
        <v>0.62</v>
      </c>
      <c r="BYC19" s="173">
        <v>0.61</v>
      </c>
      <c r="BYD19" s="173">
        <v>0.61</v>
      </c>
      <c r="BYE19" s="173">
        <v>0.61</v>
      </c>
      <c r="BYF19" s="173">
        <v>0.6</v>
      </c>
      <c r="BYG19" s="174">
        <v>0.6</v>
      </c>
      <c r="BYH19" s="173">
        <v>0.6</v>
      </c>
      <c r="BYI19" s="174">
        <v>0.59</v>
      </c>
      <c r="BYJ19" s="175">
        <v>0.59</v>
      </c>
      <c r="BYK19" s="175">
        <v>0.58</v>
      </c>
      <c r="BYL19" s="175">
        <v>0.57</v>
      </c>
      <c r="BYM19" s="175">
        <v>0.55</v>
      </c>
      <c r="BYN19" s="175">
        <v>0.53</v>
      </c>
      <c r="BYO19" s="157" t="s">
        <v>67</v>
      </c>
      <c r="BYP19" s="157"/>
      <c r="BYQ19" s="157"/>
      <c r="BYR19" s="173">
        <v>0.62</v>
      </c>
      <c r="BYS19" s="173">
        <v>0.61</v>
      </c>
      <c r="BYT19" s="173">
        <v>0.61</v>
      </c>
      <c r="BYU19" s="173">
        <v>0.61</v>
      </c>
      <c r="BYV19" s="173">
        <v>0.6</v>
      </c>
      <c r="BYW19" s="174">
        <v>0.6</v>
      </c>
      <c r="BYX19" s="173">
        <v>0.6</v>
      </c>
      <c r="BYY19" s="174">
        <v>0.59</v>
      </c>
      <c r="BYZ19" s="175">
        <v>0.59</v>
      </c>
      <c r="BZA19" s="175">
        <v>0.58</v>
      </c>
      <c r="BZB19" s="175">
        <v>0.57</v>
      </c>
      <c r="BZC19" s="175">
        <v>0.55</v>
      </c>
      <c r="BZD19" s="175">
        <v>0.53</v>
      </c>
      <c r="BZE19" s="157" t="s">
        <v>67</v>
      </c>
      <c r="BZF19" s="157"/>
      <c r="BZG19" s="157"/>
      <c r="BZH19" s="173">
        <v>0.62</v>
      </c>
      <c r="BZI19" s="173">
        <v>0.61</v>
      </c>
      <c r="BZJ19" s="173">
        <v>0.61</v>
      </c>
      <c r="BZK19" s="173">
        <v>0.61</v>
      </c>
      <c r="BZL19" s="173">
        <v>0.6</v>
      </c>
      <c r="BZM19" s="174">
        <v>0.6</v>
      </c>
      <c r="BZN19" s="173">
        <v>0.6</v>
      </c>
      <c r="BZO19" s="174">
        <v>0.59</v>
      </c>
      <c r="BZP19" s="175">
        <v>0.59</v>
      </c>
      <c r="BZQ19" s="175">
        <v>0.58</v>
      </c>
      <c r="BZR19" s="175">
        <v>0.57</v>
      </c>
      <c r="BZS19" s="175">
        <v>0.55</v>
      </c>
      <c r="BZT19" s="175">
        <v>0.53</v>
      </c>
      <c r="BZU19" s="157" t="s">
        <v>67</v>
      </c>
      <c r="BZV19" s="157"/>
      <c r="BZW19" s="157"/>
      <c r="BZX19" s="173">
        <v>0.62</v>
      </c>
      <c r="BZY19" s="173">
        <v>0.61</v>
      </c>
      <c r="BZZ19" s="173">
        <v>0.61</v>
      </c>
      <c r="CAA19" s="173">
        <v>0.61</v>
      </c>
      <c r="CAB19" s="173">
        <v>0.6</v>
      </c>
      <c r="CAC19" s="174">
        <v>0.6</v>
      </c>
      <c r="CAD19" s="173">
        <v>0.6</v>
      </c>
      <c r="CAE19" s="174">
        <v>0.59</v>
      </c>
      <c r="CAF19" s="175">
        <v>0.59</v>
      </c>
      <c r="CAG19" s="175">
        <v>0.58</v>
      </c>
      <c r="CAH19" s="175">
        <v>0.57</v>
      </c>
      <c r="CAI19" s="175">
        <v>0.55</v>
      </c>
      <c r="CAJ19" s="175">
        <v>0.53</v>
      </c>
      <c r="CAK19" s="157" t="s">
        <v>67</v>
      </c>
      <c r="CAL19" s="157"/>
      <c r="CAM19" s="157"/>
      <c r="CAN19" s="173">
        <v>0.62</v>
      </c>
      <c r="CAO19" s="173">
        <v>0.61</v>
      </c>
      <c r="CAP19" s="173">
        <v>0.61</v>
      </c>
      <c r="CAQ19" s="173">
        <v>0.61</v>
      </c>
      <c r="CAR19" s="173">
        <v>0.6</v>
      </c>
      <c r="CAS19" s="174">
        <v>0.6</v>
      </c>
      <c r="CAT19" s="173">
        <v>0.6</v>
      </c>
      <c r="CAU19" s="174">
        <v>0.59</v>
      </c>
      <c r="CAV19" s="175">
        <v>0.59</v>
      </c>
      <c r="CAW19" s="175">
        <v>0.58</v>
      </c>
      <c r="CAX19" s="175">
        <v>0.57</v>
      </c>
      <c r="CAY19" s="175">
        <v>0.55</v>
      </c>
      <c r="CAZ19" s="175">
        <v>0.53</v>
      </c>
      <c r="CBA19" s="157" t="s">
        <v>67</v>
      </c>
      <c r="CBB19" s="157"/>
      <c r="CBC19" s="157"/>
      <c r="CBD19" s="173">
        <v>0.62</v>
      </c>
      <c r="CBE19" s="173">
        <v>0.61</v>
      </c>
      <c r="CBF19" s="173">
        <v>0.61</v>
      </c>
      <c r="CBG19" s="173">
        <v>0.61</v>
      </c>
      <c r="CBH19" s="173">
        <v>0.6</v>
      </c>
      <c r="CBI19" s="174">
        <v>0.6</v>
      </c>
      <c r="CBJ19" s="173">
        <v>0.6</v>
      </c>
      <c r="CBK19" s="174">
        <v>0.59</v>
      </c>
      <c r="CBL19" s="175">
        <v>0.59</v>
      </c>
      <c r="CBM19" s="175">
        <v>0.58</v>
      </c>
      <c r="CBN19" s="175">
        <v>0.57</v>
      </c>
      <c r="CBO19" s="175">
        <v>0.55</v>
      </c>
      <c r="CBP19" s="175">
        <v>0.53</v>
      </c>
      <c r="CBQ19" s="157" t="s">
        <v>67</v>
      </c>
      <c r="CBR19" s="157"/>
      <c r="CBS19" s="157"/>
      <c r="CBT19" s="173">
        <v>0.62</v>
      </c>
      <c r="CBU19" s="173">
        <v>0.61</v>
      </c>
      <c r="CBV19" s="173">
        <v>0.61</v>
      </c>
      <c r="CBW19" s="173">
        <v>0.61</v>
      </c>
      <c r="CBX19" s="173">
        <v>0.6</v>
      </c>
      <c r="CBY19" s="174">
        <v>0.6</v>
      </c>
      <c r="CBZ19" s="173">
        <v>0.6</v>
      </c>
      <c r="CCA19" s="174">
        <v>0.59</v>
      </c>
      <c r="CCB19" s="175">
        <v>0.59</v>
      </c>
      <c r="CCC19" s="175">
        <v>0.58</v>
      </c>
      <c r="CCD19" s="175">
        <v>0.57</v>
      </c>
      <c r="CCE19" s="175">
        <v>0.55</v>
      </c>
      <c r="CCF19" s="175">
        <v>0.53</v>
      </c>
      <c r="CCG19" s="157" t="s">
        <v>67</v>
      </c>
      <c r="CCH19" s="157"/>
      <c r="CCI19" s="157"/>
      <c r="CCJ19" s="173">
        <v>0.62</v>
      </c>
      <c r="CCK19" s="173">
        <v>0.61</v>
      </c>
      <c r="CCL19" s="173">
        <v>0.61</v>
      </c>
      <c r="CCM19" s="173">
        <v>0.61</v>
      </c>
      <c r="CCN19" s="173">
        <v>0.6</v>
      </c>
      <c r="CCO19" s="174">
        <v>0.6</v>
      </c>
      <c r="CCP19" s="173">
        <v>0.6</v>
      </c>
      <c r="CCQ19" s="174">
        <v>0.59</v>
      </c>
      <c r="CCR19" s="175">
        <v>0.59</v>
      </c>
      <c r="CCS19" s="175">
        <v>0.58</v>
      </c>
      <c r="CCT19" s="175">
        <v>0.57</v>
      </c>
      <c r="CCU19" s="175">
        <v>0.55</v>
      </c>
      <c r="CCV19" s="175">
        <v>0.53</v>
      </c>
      <c r="CCW19" s="157" t="s">
        <v>67</v>
      </c>
      <c r="CCX19" s="157"/>
      <c r="CCY19" s="157"/>
      <c r="CCZ19" s="173">
        <v>0.62</v>
      </c>
      <c r="CDA19" s="173">
        <v>0.61</v>
      </c>
      <c r="CDB19" s="173">
        <v>0.61</v>
      </c>
      <c r="CDC19" s="173">
        <v>0.61</v>
      </c>
      <c r="CDD19" s="173">
        <v>0.6</v>
      </c>
      <c r="CDE19" s="174">
        <v>0.6</v>
      </c>
      <c r="CDF19" s="173">
        <v>0.6</v>
      </c>
      <c r="CDG19" s="174">
        <v>0.59</v>
      </c>
      <c r="CDH19" s="175">
        <v>0.59</v>
      </c>
      <c r="CDI19" s="175">
        <v>0.58</v>
      </c>
      <c r="CDJ19" s="175">
        <v>0.57</v>
      </c>
      <c r="CDK19" s="175">
        <v>0.55</v>
      </c>
      <c r="CDL19" s="175">
        <v>0.53</v>
      </c>
      <c r="CDM19" s="157" t="s">
        <v>67</v>
      </c>
      <c r="CDN19" s="157"/>
      <c r="CDO19" s="157"/>
      <c r="CDP19" s="173">
        <v>0.62</v>
      </c>
      <c r="CDQ19" s="173">
        <v>0.61</v>
      </c>
      <c r="CDR19" s="173">
        <v>0.61</v>
      </c>
      <c r="CDS19" s="173">
        <v>0.61</v>
      </c>
      <c r="CDT19" s="173">
        <v>0.6</v>
      </c>
      <c r="CDU19" s="174">
        <v>0.6</v>
      </c>
      <c r="CDV19" s="173">
        <v>0.6</v>
      </c>
      <c r="CDW19" s="174">
        <v>0.59</v>
      </c>
      <c r="CDX19" s="175">
        <v>0.59</v>
      </c>
      <c r="CDY19" s="175">
        <v>0.58</v>
      </c>
      <c r="CDZ19" s="175">
        <v>0.57</v>
      </c>
      <c r="CEA19" s="175">
        <v>0.55</v>
      </c>
      <c r="CEB19" s="175">
        <v>0.53</v>
      </c>
      <c r="CEC19" s="157" t="s">
        <v>67</v>
      </c>
      <c r="CED19" s="157"/>
      <c r="CEE19" s="157"/>
      <c r="CEF19" s="173">
        <v>0.62</v>
      </c>
      <c r="CEG19" s="173">
        <v>0.61</v>
      </c>
      <c r="CEH19" s="173">
        <v>0.61</v>
      </c>
      <c r="CEI19" s="173">
        <v>0.61</v>
      </c>
      <c r="CEJ19" s="173">
        <v>0.6</v>
      </c>
      <c r="CEK19" s="174">
        <v>0.6</v>
      </c>
      <c r="CEL19" s="173">
        <v>0.6</v>
      </c>
      <c r="CEM19" s="174">
        <v>0.59</v>
      </c>
      <c r="CEN19" s="175">
        <v>0.59</v>
      </c>
      <c r="CEO19" s="175">
        <v>0.58</v>
      </c>
      <c r="CEP19" s="175">
        <v>0.57</v>
      </c>
      <c r="CEQ19" s="175">
        <v>0.55</v>
      </c>
      <c r="CER19" s="175">
        <v>0.53</v>
      </c>
      <c r="CES19" s="157" t="s">
        <v>67</v>
      </c>
      <c r="CET19" s="157"/>
      <c r="CEU19" s="157"/>
      <c r="CEV19" s="173">
        <v>0.62</v>
      </c>
      <c r="CEW19" s="173">
        <v>0.61</v>
      </c>
      <c r="CEX19" s="173">
        <v>0.61</v>
      </c>
      <c r="CEY19" s="173">
        <v>0.61</v>
      </c>
      <c r="CEZ19" s="173">
        <v>0.6</v>
      </c>
      <c r="CFA19" s="174">
        <v>0.6</v>
      </c>
      <c r="CFB19" s="173">
        <v>0.6</v>
      </c>
      <c r="CFC19" s="174">
        <v>0.59</v>
      </c>
      <c r="CFD19" s="175">
        <v>0.59</v>
      </c>
      <c r="CFE19" s="175">
        <v>0.58</v>
      </c>
      <c r="CFF19" s="175">
        <v>0.57</v>
      </c>
      <c r="CFG19" s="175">
        <v>0.55</v>
      </c>
      <c r="CFH19" s="175">
        <v>0.53</v>
      </c>
      <c r="CFI19" s="157" t="s">
        <v>67</v>
      </c>
      <c r="CFJ19" s="157"/>
      <c r="CFK19" s="157"/>
      <c r="CFL19" s="173">
        <v>0.62</v>
      </c>
      <c r="CFM19" s="173">
        <v>0.61</v>
      </c>
      <c r="CFN19" s="173">
        <v>0.61</v>
      </c>
      <c r="CFO19" s="173">
        <v>0.61</v>
      </c>
      <c r="CFP19" s="173">
        <v>0.6</v>
      </c>
      <c r="CFQ19" s="174">
        <v>0.6</v>
      </c>
      <c r="CFR19" s="173">
        <v>0.6</v>
      </c>
      <c r="CFS19" s="174">
        <v>0.59</v>
      </c>
      <c r="CFT19" s="175">
        <v>0.59</v>
      </c>
      <c r="CFU19" s="175">
        <v>0.58</v>
      </c>
      <c r="CFV19" s="175">
        <v>0.57</v>
      </c>
      <c r="CFW19" s="175">
        <v>0.55</v>
      </c>
      <c r="CFX19" s="175">
        <v>0.53</v>
      </c>
      <c r="CFY19" s="157" t="s">
        <v>67</v>
      </c>
      <c r="CFZ19" s="157"/>
      <c r="CGA19" s="157"/>
      <c r="CGB19" s="173">
        <v>0.62</v>
      </c>
      <c r="CGC19" s="173">
        <v>0.61</v>
      </c>
      <c r="CGD19" s="173">
        <v>0.61</v>
      </c>
      <c r="CGE19" s="173">
        <v>0.61</v>
      </c>
      <c r="CGF19" s="173">
        <v>0.6</v>
      </c>
      <c r="CGG19" s="174">
        <v>0.6</v>
      </c>
      <c r="CGH19" s="173">
        <v>0.6</v>
      </c>
      <c r="CGI19" s="174">
        <v>0.59</v>
      </c>
      <c r="CGJ19" s="175">
        <v>0.59</v>
      </c>
      <c r="CGK19" s="175">
        <v>0.58</v>
      </c>
      <c r="CGL19" s="175">
        <v>0.57</v>
      </c>
      <c r="CGM19" s="175">
        <v>0.55</v>
      </c>
      <c r="CGN19" s="175">
        <v>0.53</v>
      </c>
      <c r="CGO19" s="157" t="s">
        <v>67</v>
      </c>
      <c r="CGP19" s="157"/>
      <c r="CGQ19" s="157"/>
      <c r="CGR19" s="173">
        <v>0.62</v>
      </c>
      <c r="CGS19" s="173">
        <v>0.61</v>
      </c>
      <c r="CGT19" s="173">
        <v>0.61</v>
      </c>
      <c r="CGU19" s="173">
        <v>0.61</v>
      </c>
      <c r="CGV19" s="173">
        <v>0.6</v>
      </c>
      <c r="CGW19" s="174">
        <v>0.6</v>
      </c>
      <c r="CGX19" s="173">
        <v>0.6</v>
      </c>
      <c r="CGY19" s="174">
        <v>0.59</v>
      </c>
      <c r="CGZ19" s="175">
        <v>0.59</v>
      </c>
      <c r="CHA19" s="175">
        <v>0.58</v>
      </c>
      <c r="CHB19" s="175">
        <v>0.57</v>
      </c>
      <c r="CHC19" s="175">
        <v>0.55</v>
      </c>
      <c r="CHD19" s="175">
        <v>0.53</v>
      </c>
      <c r="CHE19" s="157" t="s">
        <v>67</v>
      </c>
      <c r="CHF19" s="157"/>
      <c r="CHG19" s="157"/>
      <c r="CHH19" s="173">
        <v>0.62</v>
      </c>
      <c r="CHI19" s="173">
        <v>0.61</v>
      </c>
      <c r="CHJ19" s="173">
        <v>0.61</v>
      </c>
      <c r="CHK19" s="173">
        <v>0.61</v>
      </c>
      <c r="CHL19" s="173">
        <v>0.6</v>
      </c>
      <c r="CHM19" s="174">
        <v>0.6</v>
      </c>
      <c r="CHN19" s="173">
        <v>0.6</v>
      </c>
      <c r="CHO19" s="174">
        <v>0.59</v>
      </c>
      <c r="CHP19" s="175">
        <v>0.59</v>
      </c>
      <c r="CHQ19" s="175">
        <v>0.58</v>
      </c>
      <c r="CHR19" s="175">
        <v>0.57</v>
      </c>
      <c r="CHS19" s="175">
        <v>0.55</v>
      </c>
      <c r="CHT19" s="175">
        <v>0.53</v>
      </c>
      <c r="CHU19" s="157" t="s">
        <v>67</v>
      </c>
      <c r="CHV19" s="157"/>
      <c r="CHW19" s="157"/>
      <c r="CHX19" s="173">
        <v>0.62</v>
      </c>
      <c r="CHY19" s="173">
        <v>0.61</v>
      </c>
      <c r="CHZ19" s="173">
        <v>0.61</v>
      </c>
      <c r="CIA19" s="173">
        <v>0.61</v>
      </c>
      <c r="CIB19" s="173">
        <v>0.6</v>
      </c>
      <c r="CIC19" s="174">
        <v>0.6</v>
      </c>
      <c r="CID19" s="173">
        <v>0.6</v>
      </c>
      <c r="CIE19" s="174">
        <v>0.59</v>
      </c>
      <c r="CIF19" s="175">
        <v>0.59</v>
      </c>
      <c r="CIG19" s="175">
        <v>0.58</v>
      </c>
      <c r="CIH19" s="175">
        <v>0.57</v>
      </c>
      <c r="CII19" s="175">
        <v>0.55</v>
      </c>
      <c r="CIJ19" s="175">
        <v>0.53</v>
      </c>
      <c r="CIK19" s="157" t="s">
        <v>67</v>
      </c>
      <c r="CIL19" s="157"/>
      <c r="CIM19" s="157"/>
      <c r="CIN19" s="173">
        <v>0.62</v>
      </c>
      <c r="CIO19" s="173">
        <v>0.61</v>
      </c>
      <c r="CIP19" s="173">
        <v>0.61</v>
      </c>
      <c r="CIQ19" s="173">
        <v>0.61</v>
      </c>
      <c r="CIR19" s="173">
        <v>0.6</v>
      </c>
      <c r="CIS19" s="174">
        <v>0.6</v>
      </c>
      <c r="CIT19" s="173">
        <v>0.6</v>
      </c>
      <c r="CIU19" s="174">
        <v>0.59</v>
      </c>
      <c r="CIV19" s="175">
        <v>0.59</v>
      </c>
      <c r="CIW19" s="175">
        <v>0.58</v>
      </c>
      <c r="CIX19" s="175">
        <v>0.57</v>
      </c>
      <c r="CIY19" s="175">
        <v>0.55</v>
      </c>
      <c r="CIZ19" s="175">
        <v>0.53</v>
      </c>
      <c r="CJA19" s="157" t="s">
        <v>67</v>
      </c>
      <c r="CJB19" s="157"/>
      <c r="CJC19" s="157"/>
      <c r="CJD19" s="173">
        <v>0.62</v>
      </c>
      <c r="CJE19" s="173">
        <v>0.61</v>
      </c>
      <c r="CJF19" s="173">
        <v>0.61</v>
      </c>
      <c r="CJG19" s="173">
        <v>0.61</v>
      </c>
      <c r="CJH19" s="173">
        <v>0.6</v>
      </c>
      <c r="CJI19" s="174">
        <v>0.6</v>
      </c>
      <c r="CJJ19" s="173">
        <v>0.6</v>
      </c>
      <c r="CJK19" s="174">
        <v>0.59</v>
      </c>
      <c r="CJL19" s="175">
        <v>0.59</v>
      </c>
      <c r="CJM19" s="175">
        <v>0.58</v>
      </c>
      <c r="CJN19" s="175">
        <v>0.57</v>
      </c>
      <c r="CJO19" s="175">
        <v>0.55</v>
      </c>
      <c r="CJP19" s="175">
        <v>0.53</v>
      </c>
      <c r="CJQ19" s="157" t="s">
        <v>67</v>
      </c>
      <c r="CJR19" s="157"/>
      <c r="CJS19" s="157"/>
      <c r="CJT19" s="173">
        <v>0.62</v>
      </c>
      <c r="CJU19" s="173">
        <v>0.61</v>
      </c>
      <c r="CJV19" s="173">
        <v>0.61</v>
      </c>
      <c r="CJW19" s="173">
        <v>0.61</v>
      </c>
      <c r="CJX19" s="173">
        <v>0.6</v>
      </c>
      <c r="CJY19" s="174">
        <v>0.6</v>
      </c>
      <c r="CJZ19" s="173">
        <v>0.6</v>
      </c>
      <c r="CKA19" s="174">
        <v>0.59</v>
      </c>
      <c r="CKB19" s="175">
        <v>0.59</v>
      </c>
      <c r="CKC19" s="175">
        <v>0.58</v>
      </c>
      <c r="CKD19" s="175">
        <v>0.57</v>
      </c>
      <c r="CKE19" s="175">
        <v>0.55</v>
      </c>
      <c r="CKF19" s="175">
        <v>0.53</v>
      </c>
      <c r="CKG19" s="157" t="s">
        <v>67</v>
      </c>
      <c r="CKH19" s="157"/>
      <c r="CKI19" s="157"/>
      <c r="CKJ19" s="173">
        <v>0.62</v>
      </c>
      <c r="CKK19" s="173">
        <v>0.61</v>
      </c>
      <c r="CKL19" s="173">
        <v>0.61</v>
      </c>
      <c r="CKM19" s="173">
        <v>0.61</v>
      </c>
      <c r="CKN19" s="173">
        <v>0.6</v>
      </c>
      <c r="CKO19" s="174">
        <v>0.6</v>
      </c>
      <c r="CKP19" s="173">
        <v>0.6</v>
      </c>
      <c r="CKQ19" s="174">
        <v>0.59</v>
      </c>
      <c r="CKR19" s="175">
        <v>0.59</v>
      </c>
      <c r="CKS19" s="175">
        <v>0.58</v>
      </c>
      <c r="CKT19" s="175">
        <v>0.57</v>
      </c>
      <c r="CKU19" s="175">
        <v>0.55</v>
      </c>
      <c r="CKV19" s="175">
        <v>0.53</v>
      </c>
      <c r="CKW19" s="157" t="s">
        <v>67</v>
      </c>
      <c r="CKX19" s="157"/>
      <c r="CKY19" s="157"/>
      <c r="CKZ19" s="173">
        <v>0.62</v>
      </c>
      <c r="CLA19" s="173">
        <v>0.61</v>
      </c>
      <c r="CLB19" s="173">
        <v>0.61</v>
      </c>
      <c r="CLC19" s="173">
        <v>0.61</v>
      </c>
      <c r="CLD19" s="173">
        <v>0.6</v>
      </c>
      <c r="CLE19" s="174">
        <v>0.6</v>
      </c>
      <c r="CLF19" s="173">
        <v>0.6</v>
      </c>
      <c r="CLG19" s="174">
        <v>0.59</v>
      </c>
      <c r="CLH19" s="175">
        <v>0.59</v>
      </c>
      <c r="CLI19" s="175">
        <v>0.58</v>
      </c>
      <c r="CLJ19" s="175">
        <v>0.57</v>
      </c>
      <c r="CLK19" s="175">
        <v>0.55</v>
      </c>
      <c r="CLL19" s="175">
        <v>0.53</v>
      </c>
      <c r="CLM19" s="157" t="s">
        <v>67</v>
      </c>
      <c r="CLN19" s="157"/>
      <c r="CLO19" s="157"/>
      <c r="CLP19" s="173">
        <v>0.62</v>
      </c>
      <c r="CLQ19" s="173">
        <v>0.61</v>
      </c>
      <c r="CLR19" s="173">
        <v>0.61</v>
      </c>
      <c r="CLS19" s="173">
        <v>0.61</v>
      </c>
      <c r="CLT19" s="173">
        <v>0.6</v>
      </c>
      <c r="CLU19" s="174">
        <v>0.6</v>
      </c>
      <c r="CLV19" s="173">
        <v>0.6</v>
      </c>
      <c r="CLW19" s="174">
        <v>0.59</v>
      </c>
      <c r="CLX19" s="175">
        <v>0.59</v>
      </c>
      <c r="CLY19" s="175">
        <v>0.58</v>
      </c>
      <c r="CLZ19" s="175">
        <v>0.57</v>
      </c>
      <c r="CMA19" s="175">
        <v>0.55</v>
      </c>
      <c r="CMB19" s="175">
        <v>0.53</v>
      </c>
      <c r="CMC19" s="157" t="s">
        <v>67</v>
      </c>
      <c r="CMD19" s="157"/>
      <c r="CME19" s="157"/>
      <c r="CMF19" s="173">
        <v>0.62</v>
      </c>
      <c r="CMG19" s="173">
        <v>0.61</v>
      </c>
      <c r="CMH19" s="173">
        <v>0.61</v>
      </c>
      <c r="CMI19" s="173">
        <v>0.61</v>
      </c>
      <c r="CMJ19" s="173">
        <v>0.6</v>
      </c>
      <c r="CMK19" s="174">
        <v>0.6</v>
      </c>
      <c r="CML19" s="173">
        <v>0.6</v>
      </c>
      <c r="CMM19" s="174">
        <v>0.59</v>
      </c>
      <c r="CMN19" s="175">
        <v>0.59</v>
      </c>
      <c r="CMO19" s="175">
        <v>0.58</v>
      </c>
      <c r="CMP19" s="175">
        <v>0.57</v>
      </c>
      <c r="CMQ19" s="175">
        <v>0.55</v>
      </c>
      <c r="CMR19" s="175">
        <v>0.53</v>
      </c>
      <c r="CMS19" s="157" t="s">
        <v>67</v>
      </c>
      <c r="CMT19" s="157"/>
      <c r="CMU19" s="157"/>
      <c r="CMV19" s="173">
        <v>0.62</v>
      </c>
      <c r="CMW19" s="173">
        <v>0.61</v>
      </c>
      <c r="CMX19" s="173">
        <v>0.61</v>
      </c>
      <c r="CMY19" s="173">
        <v>0.61</v>
      </c>
      <c r="CMZ19" s="173">
        <v>0.6</v>
      </c>
      <c r="CNA19" s="174">
        <v>0.6</v>
      </c>
      <c r="CNB19" s="173">
        <v>0.6</v>
      </c>
      <c r="CNC19" s="174">
        <v>0.59</v>
      </c>
      <c r="CND19" s="175">
        <v>0.59</v>
      </c>
      <c r="CNE19" s="175">
        <v>0.58</v>
      </c>
      <c r="CNF19" s="175">
        <v>0.57</v>
      </c>
      <c r="CNG19" s="175">
        <v>0.55</v>
      </c>
      <c r="CNH19" s="175">
        <v>0.53</v>
      </c>
      <c r="CNI19" s="157" t="s">
        <v>67</v>
      </c>
      <c r="CNJ19" s="157"/>
      <c r="CNK19" s="157"/>
      <c r="CNL19" s="173">
        <v>0.62</v>
      </c>
      <c r="CNM19" s="173">
        <v>0.61</v>
      </c>
      <c r="CNN19" s="173">
        <v>0.61</v>
      </c>
      <c r="CNO19" s="173">
        <v>0.61</v>
      </c>
      <c r="CNP19" s="173">
        <v>0.6</v>
      </c>
      <c r="CNQ19" s="174">
        <v>0.6</v>
      </c>
      <c r="CNR19" s="173">
        <v>0.6</v>
      </c>
      <c r="CNS19" s="174">
        <v>0.59</v>
      </c>
      <c r="CNT19" s="175">
        <v>0.59</v>
      </c>
      <c r="CNU19" s="175">
        <v>0.58</v>
      </c>
      <c r="CNV19" s="175">
        <v>0.57</v>
      </c>
      <c r="CNW19" s="175">
        <v>0.55</v>
      </c>
      <c r="CNX19" s="175">
        <v>0.53</v>
      </c>
      <c r="CNY19" s="157" t="s">
        <v>67</v>
      </c>
      <c r="CNZ19" s="157"/>
      <c r="COA19" s="157"/>
      <c r="COB19" s="173">
        <v>0.62</v>
      </c>
      <c r="COC19" s="173">
        <v>0.61</v>
      </c>
      <c r="COD19" s="173">
        <v>0.61</v>
      </c>
      <c r="COE19" s="173">
        <v>0.61</v>
      </c>
      <c r="COF19" s="173">
        <v>0.6</v>
      </c>
      <c r="COG19" s="174">
        <v>0.6</v>
      </c>
      <c r="COH19" s="173">
        <v>0.6</v>
      </c>
      <c r="COI19" s="174">
        <v>0.59</v>
      </c>
      <c r="COJ19" s="175">
        <v>0.59</v>
      </c>
      <c r="COK19" s="175">
        <v>0.58</v>
      </c>
      <c r="COL19" s="175">
        <v>0.57</v>
      </c>
      <c r="COM19" s="175">
        <v>0.55</v>
      </c>
      <c r="CON19" s="175">
        <v>0.53</v>
      </c>
      <c r="COO19" s="157" t="s">
        <v>67</v>
      </c>
      <c r="COP19" s="157"/>
      <c r="COQ19" s="157"/>
      <c r="COR19" s="173">
        <v>0.62</v>
      </c>
      <c r="COS19" s="173">
        <v>0.61</v>
      </c>
      <c r="COT19" s="173">
        <v>0.61</v>
      </c>
      <c r="COU19" s="173">
        <v>0.61</v>
      </c>
      <c r="COV19" s="173">
        <v>0.6</v>
      </c>
      <c r="COW19" s="174">
        <v>0.6</v>
      </c>
      <c r="COX19" s="173">
        <v>0.6</v>
      </c>
      <c r="COY19" s="174">
        <v>0.59</v>
      </c>
      <c r="COZ19" s="175">
        <v>0.59</v>
      </c>
      <c r="CPA19" s="175">
        <v>0.58</v>
      </c>
      <c r="CPB19" s="175">
        <v>0.57</v>
      </c>
      <c r="CPC19" s="175">
        <v>0.55</v>
      </c>
      <c r="CPD19" s="175">
        <v>0.53</v>
      </c>
      <c r="CPE19" s="157" t="s">
        <v>67</v>
      </c>
      <c r="CPF19" s="157"/>
      <c r="CPG19" s="157"/>
      <c r="CPH19" s="173">
        <v>0.62</v>
      </c>
      <c r="CPI19" s="173">
        <v>0.61</v>
      </c>
      <c r="CPJ19" s="173">
        <v>0.61</v>
      </c>
      <c r="CPK19" s="173">
        <v>0.61</v>
      </c>
      <c r="CPL19" s="173">
        <v>0.6</v>
      </c>
      <c r="CPM19" s="174">
        <v>0.6</v>
      </c>
      <c r="CPN19" s="173">
        <v>0.6</v>
      </c>
      <c r="CPO19" s="174">
        <v>0.59</v>
      </c>
      <c r="CPP19" s="175">
        <v>0.59</v>
      </c>
      <c r="CPQ19" s="175">
        <v>0.58</v>
      </c>
      <c r="CPR19" s="175">
        <v>0.57</v>
      </c>
      <c r="CPS19" s="175">
        <v>0.55</v>
      </c>
      <c r="CPT19" s="175">
        <v>0.53</v>
      </c>
      <c r="CPU19" s="157" t="s">
        <v>67</v>
      </c>
      <c r="CPV19" s="157"/>
      <c r="CPW19" s="157"/>
      <c r="CPX19" s="173">
        <v>0.62</v>
      </c>
      <c r="CPY19" s="173">
        <v>0.61</v>
      </c>
      <c r="CPZ19" s="173">
        <v>0.61</v>
      </c>
      <c r="CQA19" s="173">
        <v>0.61</v>
      </c>
      <c r="CQB19" s="173">
        <v>0.6</v>
      </c>
      <c r="CQC19" s="174">
        <v>0.6</v>
      </c>
      <c r="CQD19" s="173">
        <v>0.6</v>
      </c>
      <c r="CQE19" s="174">
        <v>0.59</v>
      </c>
      <c r="CQF19" s="175">
        <v>0.59</v>
      </c>
      <c r="CQG19" s="175">
        <v>0.58</v>
      </c>
      <c r="CQH19" s="175">
        <v>0.57</v>
      </c>
      <c r="CQI19" s="175">
        <v>0.55</v>
      </c>
      <c r="CQJ19" s="175">
        <v>0.53</v>
      </c>
      <c r="CQK19" s="157" t="s">
        <v>67</v>
      </c>
      <c r="CQL19" s="157"/>
      <c r="CQM19" s="157"/>
      <c r="CQN19" s="173">
        <v>0.62</v>
      </c>
      <c r="CQO19" s="173">
        <v>0.61</v>
      </c>
      <c r="CQP19" s="173">
        <v>0.61</v>
      </c>
      <c r="CQQ19" s="173">
        <v>0.61</v>
      </c>
      <c r="CQR19" s="173">
        <v>0.6</v>
      </c>
      <c r="CQS19" s="174">
        <v>0.6</v>
      </c>
      <c r="CQT19" s="173">
        <v>0.6</v>
      </c>
      <c r="CQU19" s="174">
        <v>0.59</v>
      </c>
      <c r="CQV19" s="175">
        <v>0.59</v>
      </c>
      <c r="CQW19" s="175">
        <v>0.58</v>
      </c>
      <c r="CQX19" s="175">
        <v>0.57</v>
      </c>
      <c r="CQY19" s="175">
        <v>0.55</v>
      </c>
      <c r="CQZ19" s="175">
        <v>0.53</v>
      </c>
      <c r="CRA19" s="157" t="s">
        <v>67</v>
      </c>
      <c r="CRB19" s="157"/>
      <c r="CRC19" s="157"/>
      <c r="CRD19" s="173">
        <v>0.62</v>
      </c>
      <c r="CRE19" s="173">
        <v>0.61</v>
      </c>
      <c r="CRF19" s="173">
        <v>0.61</v>
      </c>
      <c r="CRG19" s="173">
        <v>0.61</v>
      </c>
      <c r="CRH19" s="173">
        <v>0.6</v>
      </c>
      <c r="CRI19" s="174">
        <v>0.6</v>
      </c>
      <c r="CRJ19" s="173">
        <v>0.6</v>
      </c>
      <c r="CRK19" s="174">
        <v>0.59</v>
      </c>
      <c r="CRL19" s="175">
        <v>0.59</v>
      </c>
      <c r="CRM19" s="175">
        <v>0.58</v>
      </c>
      <c r="CRN19" s="175">
        <v>0.57</v>
      </c>
      <c r="CRO19" s="175">
        <v>0.55</v>
      </c>
      <c r="CRP19" s="175">
        <v>0.53</v>
      </c>
      <c r="CRQ19" s="157" t="s">
        <v>67</v>
      </c>
      <c r="CRR19" s="157"/>
      <c r="CRS19" s="157"/>
      <c r="CRT19" s="173">
        <v>0.62</v>
      </c>
      <c r="CRU19" s="173">
        <v>0.61</v>
      </c>
      <c r="CRV19" s="173">
        <v>0.61</v>
      </c>
      <c r="CRW19" s="173">
        <v>0.61</v>
      </c>
      <c r="CRX19" s="173">
        <v>0.6</v>
      </c>
      <c r="CRY19" s="174">
        <v>0.6</v>
      </c>
      <c r="CRZ19" s="173">
        <v>0.6</v>
      </c>
      <c r="CSA19" s="174">
        <v>0.59</v>
      </c>
      <c r="CSB19" s="175">
        <v>0.59</v>
      </c>
      <c r="CSC19" s="175">
        <v>0.58</v>
      </c>
      <c r="CSD19" s="175">
        <v>0.57</v>
      </c>
      <c r="CSE19" s="175">
        <v>0.55</v>
      </c>
      <c r="CSF19" s="175">
        <v>0.53</v>
      </c>
      <c r="CSG19" s="157" t="s">
        <v>67</v>
      </c>
      <c r="CSH19" s="157"/>
      <c r="CSI19" s="157"/>
      <c r="CSJ19" s="173">
        <v>0.62</v>
      </c>
      <c r="CSK19" s="173">
        <v>0.61</v>
      </c>
      <c r="CSL19" s="173">
        <v>0.61</v>
      </c>
      <c r="CSM19" s="173">
        <v>0.61</v>
      </c>
      <c r="CSN19" s="173">
        <v>0.6</v>
      </c>
      <c r="CSO19" s="174">
        <v>0.6</v>
      </c>
      <c r="CSP19" s="173">
        <v>0.6</v>
      </c>
      <c r="CSQ19" s="174">
        <v>0.59</v>
      </c>
      <c r="CSR19" s="175">
        <v>0.59</v>
      </c>
      <c r="CSS19" s="175">
        <v>0.58</v>
      </c>
      <c r="CST19" s="175">
        <v>0.57</v>
      </c>
      <c r="CSU19" s="175">
        <v>0.55</v>
      </c>
      <c r="CSV19" s="175">
        <v>0.53</v>
      </c>
      <c r="CSW19" s="157" t="s">
        <v>67</v>
      </c>
      <c r="CSX19" s="157"/>
      <c r="CSY19" s="157"/>
      <c r="CSZ19" s="173">
        <v>0.62</v>
      </c>
      <c r="CTA19" s="173">
        <v>0.61</v>
      </c>
      <c r="CTB19" s="173">
        <v>0.61</v>
      </c>
      <c r="CTC19" s="173">
        <v>0.61</v>
      </c>
      <c r="CTD19" s="173">
        <v>0.6</v>
      </c>
      <c r="CTE19" s="174">
        <v>0.6</v>
      </c>
      <c r="CTF19" s="173">
        <v>0.6</v>
      </c>
      <c r="CTG19" s="174">
        <v>0.59</v>
      </c>
      <c r="CTH19" s="175">
        <v>0.59</v>
      </c>
      <c r="CTI19" s="175">
        <v>0.58</v>
      </c>
      <c r="CTJ19" s="175">
        <v>0.57</v>
      </c>
      <c r="CTK19" s="175">
        <v>0.55</v>
      </c>
      <c r="CTL19" s="175">
        <v>0.53</v>
      </c>
      <c r="CTM19" s="157" t="s">
        <v>67</v>
      </c>
      <c r="CTN19" s="157"/>
      <c r="CTO19" s="157"/>
      <c r="CTP19" s="173">
        <v>0.62</v>
      </c>
      <c r="CTQ19" s="173">
        <v>0.61</v>
      </c>
      <c r="CTR19" s="173">
        <v>0.61</v>
      </c>
      <c r="CTS19" s="173">
        <v>0.61</v>
      </c>
      <c r="CTT19" s="173">
        <v>0.6</v>
      </c>
      <c r="CTU19" s="174">
        <v>0.6</v>
      </c>
      <c r="CTV19" s="173">
        <v>0.6</v>
      </c>
      <c r="CTW19" s="174">
        <v>0.59</v>
      </c>
      <c r="CTX19" s="175">
        <v>0.59</v>
      </c>
      <c r="CTY19" s="175">
        <v>0.58</v>
      </c>
      <c r="CTZ19" s="175">
        <v>0.57</v>
      </c>
      <c r="CUA19" s="175">
        <v>0.55</v>
      </c>
      <c r="CUB19" s="175">
        <v>0.53</v>
      </c>
      <c r="CUC19" s="157" t="s">
        <v>67</v>
      </c>
      <c r="CUD19" s="157"/>
      <c r="CUE19" s="157"/>
      <c r="CUF19" s="173">
        <v>0.62</v>
      </c>
      <c r="CUG19" s="173">
        <v>0.61</v>
      </c>
      <c r="CUH19" s="173">
        <v>0.61</v>
      </c>
      <c r="CUI19" s="173">
        <v>0.61</v>
      </c>
      <c r="CUJ19" s="173">
        <v>0.6</v>
      </c>
      <c r="CUK19" s="174">
        <v>0.6</v>
      </c>
      <c r="CUL19" s="173">
        <v>0.6</v>
      </c>
      <c r="CUM19" s="174">
        <v>0.59</v>
      </c>
      <c r="CUN19" s="175">
        <v>0.59</v>
      </c>
      <c r="CUO19" s="175">
        <v>0.58</v>
      </c>
      <c r="CUP19" s="175">
        <v>0.57</v>
      </c>
      <c r="CUQ19" s="175">
        <v>0.55</v>
      </c>
      <c r="CUR19" s="175">
        <v>0.53</v>
      </c>
      <c r="CUS19" s="157" t="s">
        <v>67</v>
      </c>
      <c r="CUT19" s="157"/>
      <c r="CUU19" s="157"/>
      <c r="CUV19" s="173">
        <v>0.62</v>
      </c>
      <c r="CUW19" s="173">
        <v>0.61</v>
      </c>
      <c r="CUX19" s="173">
        <v>0.61</v>
      </c>
      <c r="CUY19" s="173">
        <v>0.61</v>
      </c>
      <c r="CUZ19" s="173">
        <v>0.6</v>
      </c>
      <c r="CVA19" s="174">
        <v>0.6</v>
      </c>
      <c r="CVB19" s="173">
        <v>0.6</v>
      </c>
      <c r="CVC19" s="174">
        <v>0.59</v>
      </c>
      <c r="CVD19" s="175">
        <v>0.59</v>
      </c>
      <c r="CVE19" s="175">
        <v>0.58</v>
      </c>
      <c r="CVF19" s="175">
        <v>0.57</v>
      </c>
      <c r="CVG19" s="175">
        <v>0.55</v>
      </c>
      <c r="CVH19" s="175">
        <v>0.53</v>
      </c>
      <c r="CVI19" s="157" t="s">
        <v>67</v>
      </c>
      <c r="CVJ19" s="157"/>
      <c r="CVK19" s="157"/>
      <c r="CVL19" s="173">
        <v>0.62</v>
      </c>
      <c r="CVM19" s="173">
        <v>0.61</v>
      </c>
      <c r="CVN19" s="173">
        <v>0.61</v>
      </c>
      <c r="CVO19" s="173">
        <v>0.61</v>
      </c>
      <c r="CVP19" s="173">
        <v>0.6</v>
      </c>
      <c r="CVQ19" s="174">
        <v>0.6</v>
      </c>
      <c r="CVR19" s="173">
        <v>0.6</v>
      </c>
      <c r="CVS19" s="174">
        <v>0.59</v>
      </c>
      <c r="CVT19" s="175">
        <v>0.59</v>
      </c>
      <c r="CVU19" s="175">
        <v>0.58</v>
      </c>
      <c r="CVV19" s="175">
        <v>0.57</v>
      </c>
      <c r="CVW19" s="175">
        <v>0.55</v>
      </c>
      <c r="CVX19" s="175">
        <v>0.53</v>
      </c>
      <c r="CVY19" s="157" t="s">
        <v>67</v>
      </c>
      <c r="CVZ19" s="157"/>
      <c r="CWA19" s="157"/>
      <c r="CWB19" s="173">
        <v>0.62</v>
      </c>
      <c r="CWC19" s="173">
        <v>0.61</v>
      </c>
      <c r="CWD19" s="173">
        <v>0.61</v>
      </c>
      <c r="CWE19" s="173">
        <v>0.61</v>
      </c>
      <c r="CWF19" s="173">
        <v>0.6</v>
      </c>
      <c r="CWG19" s="174">
        <v>0.6</v>
      </c>
      <c r="CWH19" s="173">
        <v>0.6</v>
      </c>
      <c r="CWI19" s="174">
        <v>0.59</v>
      </c>
      <c r="CWJ19" s="175">
        <v>0.59</v>
      </c>
      <c r="CWK19" s="175">
        <v>0.58</v>
      </c>
      <c r="CWL19" s="175">
        <v>0.57</v>
      </c>
      <c r="CWM19" s="175">
        <v>0.55</v>
      </c>
      <c r="CWN19" s="175">
        <v>0.53</v>
      </c>
      <c r="CWO19" s="157" t="s">
        <v>67</v>
      </c>
      <c r="CWP19" s="157"/>
      <c r="CWQ19" s="157"/>
      <c r="CWR19" s="173">
        <v>0.62</v>
      </c>
      <c r="CWS19" s="173">
        <v>0.61</v>
      </c>
      <c r="CWT19" s="173">
        <v>0.61</v>
      </c>
      <c r="CWU19" s="173">
        <v>0.61</v>
      </c>
      <c r="CWV19" s="173">
        <v>0.6</v>
      </c>
      <c r="CWW19" s="174">
        <v>0.6</v>
      </c>
      <c r="CWX19" s="173">
        <v>0.6</v>
      </c>
      <c r="CWY19" s="174">
        <v>0.59</v>
      </c>
      <c r="CWZ19" s="175">
        <v>0.59</v>
      </c>
      <c r="CXA19" s="175">
        <v>0.58</v>
      </c>
      <c r="CXB19" s="175">
        <v>0.57</v>
      </c>
      <c r="CXC19" s="175">
        <v>0.55</v>
      </c>
      <c r="CXD19" s="175">
        <v>0.53</v>
      </c>
      <c r="CXE19" s="157" t="s">
        <v>67</v>
      </c>
      <c r="CXF19" s="157"/>
      <c r="CXG19" s="157"/>
      <c r="CXH19" s="173">
        <v>0.62</v>
      </c>
      <c r="CXI19" s="173">
        <v>0.61</v>
      </c>
      <c r="CXJ19" s="173">
        <v>0.61</v>
      </c>
      <c r="CXK19" s="173">
        <v>0.61</v>
      </c>
      <c r="CXL19" s="173">
        <v>0.6</v>
      </c>
      <c r="CXM19" s="174">
        <v>0.6</v>
      </c>
      <c r="CXN19" s="173">
        <v>0.6</v>
      </c>
      <c r="CXO19" s="174">
        <v>0.59</v>
      </c>
      <c r="CXP19" s="175">
        <v>0.59</v>
      </c>
      <c r="CXQ19" s="175">
        <v>0.58</v>
      </c>
      <c r="CXR19" s="175">
        <v>0.57</v>
      </c>
      <c r="CXS19" s="175">
        <v>0.55</v>
      </c>
      <c r="CXT19" s="175">
        <v>0.53</v>
      </c>
      <c r="CXU19" s="157" t="s">
        <v>67</v>
      </c>
      <c r="CXV19" s="157"/>
      <c r="CXW19" s="157"/>
      <c r="CXX19" s="173">
        <v>0.62</v>
      </c>
      <c r="CXY19" s="173">
        <v>0.61</v>
      </c>
      <c r="CXZ19" s="173">
        <v>0.61</v>
      </c>
      <c r="CYA19" s="173">
        <v>0.61</v>
      </c>
      <c r="CYB19" s="173">
        <v>0.6</v>
      </c>
      <c r="CYC19" s="174">
        <v>0.6</v>
      </c>
      <c r="CYD19" s="173">
        <v>0.6</v>
      </c>
      <c r="CYE19" s="174">
        <v>0.59</v>
      </c>
      <c r="CYF19" s="175">
        <v>0.59</v>
      </c>
      <c r="CYG19" s="175">
        <v>0.58</v>
      </c>
      <c r="CYH19" s="175">
        <v>0.57</v>
      </c>
      <c r="CYI19" s="175">
        <v>0.55</v>
      </c>
      <c r="CYJ19" s="175">
        <v>0.53</v>
      </c>
      <c r="CYK19" s="157" t="s">
        <v>67</v>
      </c>
      <c r="CYL19" s="157"/>
      <c r="CYM19" s="157"/>
      <c r="CYN19" s="173">
        <v>0.62</v>
      </c>
      <c r="CYO19" s="173">
        <v>0.61</v>
      </c>
      <c r="CYP19" s="173">
        <v>0.61</v>
      </c>
      <c r="CYQ19" s="173">
        <v>0.61</v>
      </c>
      <c r="CYR19" s="173">
        <v>0.6</v>
      </c>
      <c r="CYS19" s="174">
        <v>0.6</v>
      </c>
      <c r="CYT19" s="173">
        <v>0.6</v>
      </c>
      <c r="CYU19" s="174">
        <v>0.59</v>
      </c>
      <c r="CYV19" s="175">
        <v>0.59</v>
      </c>
      <c r="CYW19" s="175">
        <v>0.58</v>
      </c>
      <c r="CYX19" s="175">
        <v>0.57</v>
      </c>
      <c r="CYY19" s="175">
        <v>0.55</v>
      </c>
      <c r="CYZ19" s="175">
        <v>0.53</v>
      </c>
      <c r="CZA19" s="157" t="s">
        <v>67</v>
      </c>
      <c r="CZB19" s="157"/>
      <c r="CZC19" s="157"/>
      <c r="CZD19" s="173">
        <v>0.62</v>
      </c>
      <c r="CZE19" s="173">
        <v>0.61</v>
      </c>
      <c r="CZF19" s="173">
        <v>0.61</v>
      </c>
      <c r="CZG19" s="173">
        <v>0.61</v>
      </c>
      <c r="CZH19" s="173">
        <v>0.6</v>
      </c>
      <c r="CZI19" s="174">
        <v>0.6</v>
      </c>
      <c r="CZJ19" s="173">
        <v>0.6</v>
      </c>
      <c r="CZK19" s="174">
        <v>0.59</v>
      </c>
      <c r="CZL19" s="175">
        <v>0.59</v>
      </c>
      <c r="CZM19" s="175">
        <v>0.58</v>
      </c>
      <c r="CZN19" s="175">
        <v>0.57</v>
      </c>
      <c r="CZO19" s="175">
        <v>0.55</v>
      </c>
      <c r="CZP19" s="175">
        <v>0.53</v>
      </c>
      <c r="CZQ19" s="157" t="s">
        <v>67</v>
      </c>
      <c r="CZR19" s="157"/>
      <c r="CZS19" s="157"/>
      <c r="CZT19" s="173">
        <v>0.62</v>
      </c>
      <c r="CZU19" s="173">
        <v>0.61</v>
      </c>
      <c r="CZV19" s="173">
        <v>0.61</v>
      </c>
      <c r="CZW19" s="173">
        <v>0.61</v>
      </c>
      <c r="CZX19" s="173">
        <v>0.6</v>
      </c>
      <c r="CZY19" s="174">
        <v>0.6</v>
      </c>
      <c r="CZZ19" s="173">
        <v>0.6</v>
      </c>
      <c r="DAA19" s="174">
        <v>0.59</v>
      </c>
      <c r="DAB19" s="175">
        <v>0.59</v>
      </c>
      <c r="DAC19" s="175">
        <v>0.58</v>
      </c>
      <c r="DAD19" s="175">
        <v>0.57</v>
      </c>
      <c r="DAE19" s="175">
        <v>0.55</v>
      </c>
      <c r="DAF19" s="175">
        <v>0.53</v>
      </c>
      <c r="DAG19" s="157" t="s">
        <v>67</v>
      </c>
      <c r="DAH19" s="157"/>
      <c r="DAI19" s="157"/>
      <c r="DAJ19" s="173">
        <v>0.62</v>
      </c>
      <c r="DAK19" s="173">
        <v>0.61</v>
      </c>
      <c r="DAL19" s="173">
        <v>0.61</v>
      </c>
      <c r="DAM19" s="173">
        <v>0.61</v>
      </c>
      <c r="DAN19" s="173">
        <v>0.6</v>
      </c>
      <c r="DAO19" s="174">
        <v>0.6</v>
      </c>
      <c r="DAP19" s="173">
        <v>0.6</v>
      </c>
      <c r="DAQ19" s="174">
        <v>0.59</v>
      </c>
      <c r="DAR19" s="175">
        <v>0.59</v>
      </c>
      <c r="DAS19" s="175">
        <v>0.58</v>
      </c>
      <c r="DAT19" s="175">
        <v>0.57</v>
      </c>
      <c r="DAU19" s="175">
        <v>0.55</v>
      </c>
      <c r="DAV19" s="175">
        <v>0.53</v>
      </c>
      <c r="DAW19" s="157" t="s">
        <v>67</v>
      </c>
      <c r="DAX19" s="157"/>
      <c r="DAY19" s="157"/>
      <c r="DAZ19" s="173">
        <v>0.62</v>
      </c>
      <c r="DBA19" s="173">
        <v>0.61</v>
      </c>
      <c r="DBB19" s="173">
        <v>0.61</v>
      </c>
      <c r="DBC19" s="173">
        <v>0.61</v>
      </c>
      <c r="DBD19" s="173">
        <v>0.6</v>
      </c>
      <c r="DBE19" s="174">
        <v>0.6</v>
      </c>
      <c r="DBF19" s="173">
        <v>0.6</v>
      </c>
      <c r="DBG19" s="174">
        <v>0.59</v>
      </c>
      <c r="DBH19" s="175">
        <v>0.59</v>
      </c>
      <c r="DBI19" s="175">
        <v>0.58</v>
      </c>
      <c r="DBJ19" s="175">
        <v>0.57</v>
      </c>
      <c r="DBK19" s="175">
        <v>0.55</v>
      </c>
      <c r="DBL19" s="175">
        <v>0.53</v>
      </c>
      <c r="DBM19" s="157" t="s">
        <v>67</v>
      </c>
      <c r="DBN19" s="157"/>
      <c r="DBO19" s="157"/>
      <c r="DBP19" s="173">
        <v>0.62</v>
      </c>
      <c r="DBQ19" s="173">
        <v>0.61</v>
      </c>
      <c r="DBR19" s="173">
        <v>0.61</v>
      </c>
      <c r="DBS19" s="173">
        <v>0.61</v>
      </c>
      <c r="DBT19" s="173">
        <v>0.6</v>
      </c>
      <c r="DBU19" s="174">
        <v>0.6</v>
      </c>
      <c r="DBV19" s="173">
        <v>0.6</v>
      </c>
      <c r="DBW19" s="174">
        <v>0.59</v>
      </c>
      <c r="DBX19" s="175">
        <v>0.59</v>
      </c>
      <c r="DBY19" s="175">
        <v>0.58</v>
      </c>
      <c r="DBZ19" s="175">
        <v>0.57</v>
      </c>
      <c r="DCA19" s="175">
        <v>0.55</v>
      </c>
      <c r="DCB19" s="175">
        <v>0.53</v>
      </c>
      <c r="DCC19" s="157" t="s">
        <v>67</v>
      </c>
      <c r="DCD19" s="157"/>
      <c r="DCE19" s="157"/>
      <c r="DCF19" s="173">
        <v>0.62</v>
      </c>
      <c r="DCG19" s="173">
        <v>0.61</v>
      </c>
      <c r="DCH19" s="173">
        <v>0.61</v>
      </c>
      <c r="DCI19" s="173">
        <v>0.61</v>
      </c>
      <c r="DCJ19" s="173">
        <v>0.6</v>
      </c>
      <c r="DCK19" s="174">
        <v>0.6</v>
      </c>
      <c r="DCL19" s="173">
        <v>0.6</v>
      </c>
      <c r="DCM19" s="174">
        <v>0.59</v>
      </c>
      <c r="DCN19" s="175">
        <v>0.59</v>
      </c>
      <c r="DCO19" s="175">
        <v>0.58</v>
      </c>
      <c r="DCP19" s="175">
        <v>0.57</v>
      </c>
      <c r="DCQ19" s="175">
        <v>0.55</v>
      </c>
      <c r="DCR19" s="175">
        <v>0.53</v>
      </c>
      <c r="DCS19" s="157" t="s">
        <v>67</v>
      </c>
      <c r="DCT19" s="157"/>
      <c r="DCU19" s="157"/>
      <c r="DCV19" s="173">
        <v>0.62</v>
      </c>
      <c r="DCW19" s="173">
        <v>0.61</v>
      </c>
      <c r="DCX19" s="173">
        <v>0.61</v>
      </c>
      <c r="DCY19" s="173">
        <v>0.61</v>
      </c>
      <c r="DCZ19" s="173">
        <v>0.6</v>
      </c>
      <c r="DDA19" s="174">
        <v>0.6</v>
      </c>
      <c r="DDB19" s="173">
        <v>0.6</v>
      </c>
      <c r="DDC19" s="174">
        <v>0.59</v>
      </c>
      <c r="DDD19" s="175">
        <v>0.59</v>
      </c>
      <c r="DDE19" s="175">
        <v>0.58</v>
      </c>
      <c r="DDF19" s="175">
        <v>0.57</v>
      </c>
      <c r="DDG19" s="175">
        <v>0.55</v>
      </c>
      <c r="DDH19" s="175">
        <v>0.53</v>
      </c>
      <c r="DDI19" s="157" t="s">
        <v>67</v>
      </c>
      <c r="DDJ19" s="157"/>
      <c r="DDK19" s="157"/>
      <c r="DDL19" s="173">
        <v>0.62</v>
      </c>
      <c r="DDM19" s="173">
        <v>0.61</v>
      </c>
      <c r="DDN19" s="173">
        <v>0.61</v>
      </c>
      <c r="DDO19" s="173">
        <v>0.61</v>
      </c>
      <c r="DDP19" s="173">
        <v>0.6</v>
      </c>
      <c r="DDQ19" s="174">
        <v>0.6</v>
      </c>
      <c r="DDR19" s="173">
        <v>0.6</v>
      </c>
      <c r="DDS19" s="174">
        <v>0.59</v>
      </c>
      <c r="DDT19" s="175">
        <v>0.59</v>
      </c>
      <c r="DDU19" s="175">
        <v>0.58</v>
      </c>
      <c r="DDV19" s="175">
        <v>0.57</v>
      </c>
      <c r="DDW19" s="175">
        <v>0.55</v>
      </c>
      <c r="DDX19" s="175">
        <v>0.53</v>
      </c>
      <c r="DDY19" s="157" t="s">
        <v>67</v>
      </c>
      <c r="DDZ19" s="157"/>
      <c r="DEA19" s="157"/>
      <c r="DEB19" s="173">
        <v>0.62</v>
      </c>
      <c r="DEC19" s="173">
        <v>0.61</v>
      </c>
      <c r="DED19" s="173">
        <v>0.61</v>
      </c>
      <c r="DEE19" s="173">
        <v>0.61</v>
      </c>
      <c r="DEF19" s="173">
        <v>0.6</v>
      </c>
      <c r="DEG19" s="174">
        <v>0.6</v>
      </c>
      <c r="DEH19" s="173">
        <v>0.6</v>
      </c>
      <c r="DEI19" s="174">
        <v>0.59</v>
      </c>
      <c r="DEJ19" s="175">
        <v>0.59</v>
      </c>
      <c r="DEK19" s="175">
        <v>0.58</v>
      </c>
      <c r="DEL19" s="175">
        <v>0.57</v>
      </c>
      <c r="DEM19" s="175">
        <v>0.55</v>
      </c>
      <c r="DEN19" s="175">
        <v>0.53</v>
      </c>
      <c r="DEO19" s="157" t="s">
        <v>67</v>
      </c>
      <c r="DEP19" s="157"/>
      <c r="DEQ19" s="157"/>
      <c r="DER19" s="173">
        <v>0.62</v>
      </c>
      <c r="DES19" s="173">
        <v>0.61</v>
      </c>
      <c r="DET19" s="173">
        <v>0.61</v>
      </c>
      <c r="DEU19" s="173">
        <v>0.61</v>
      </c>
      <c r="DEV19" s="173">
        <v>0.6</v>
      </c>
      <c r="DEW19" s="174">
        <v>0.6</v>
      </c>
      <c r="DEX19" s="173">
        <v>0.6</v>
      </c>
      <c r="DEY19" s="174">
        <v>0.59</v>
      </c>
      <c r="DEZ19" s="175">
        <v>0.59</v>
      </c>
      <c r="DFA19" s="175">
        <v>0.58</v>
      </c>
      <c r="DFB19" s="175">
        <v>0.57</v>
      </c>
      <c r="DFC19" s="175">
        <v>0.55</v>
      </c>
      <c r="DFD19" s="175">
        <v>0.53</v>
      </c>
      <c r="DFE19" s="157" t="s">
        <v>67</v>
      </c>
      <c r="DFF19" s="157"/>
      <c r="DFG19" s="157"/>
      <c r="DFH19" s="173">
        <v>0.62</v>
      </c>
      <c r="DFI19" s="173">
        <v>0.61</v>
      </c>
      <c r="DFJ19" s="173">
        <v>0.61</v>
      </c>
      <c r="DFK19" s="173">
        <v>0.61</v>
      </c>
      <c r="DFL19" s="173">
        <v>0.6</v>
      </c>
      <c r="DFM19" s="174">
        <v>0.6</v>
      </c>
      <c r="DFN19" s="173">
        <v>0.6</v>
      </c>
      <c r="DFO19" s="174">
        <v>0.59</v>
      </c>
      <c r="DFP19" s="175">
        <v>0.59</v>
      </c>
      <c r="DFQ19" s="175">
        <v>0.58</v>
      </c>
      <c r="DFR19" s="175">
        <v>0.57</v>
      </c>
      <c r="DFS19" s="175">
        <v>0.55</v>
      </c>
      <c r="DFT19" s="175">
        <v>0.53</v>
      </c>
      <c r="DFU19" s="157" t="s">
        <v>67</v>
      </c>
      <c r="DFV19" s="157"/>
      <c r="DFW19" s="157"/>
      <c r="DFX19" s="173">
        <v>0.62</v>
      </c>
      <c r="DFY19" s="173">
        <v>0.61</v>
      </c>
      <c r="DFZ19" s="173">
        <v>0.61</v>
      </c>
      <c r="DGA19" s="173">
        <v>0.61</v>
      </c>
      <c r="DGB19" s="173">
        <v>0.6</v>
      </c>
      <c r="DGC19" s="174">
        <v>0.6</v>
      </c>
      <c r="DGD19" s="173">
        <v>0.6</v>
      </c>
      <c r="DGE19" s="174">
        <v>0.59</v>
      </c>
      <c r="DGF19" s="175">
        <v>0.59</v>
      </c>
      <c r="DGG19" s="175">
        <v>0.58</v>
      </c>
      <c r="DGH19" s="175">
        <v>0.57</v>
      </c>
      <c r="DGI19" s="175">
        <v>0.55</v>
      </c>
      <c r="DGJ19" s="175">
        <v>0.53</v>
      </c>
      <c r="DGK19" s="157" t="s">
        <v>67</v>
      </c>
      <c r="DGL19" s="157"/>
      <c r="DGM19" s="157"/>
      <c r="DGN19" s="173">
        <v>0.62</v>
      </c>
      <c r="DGO19" s="173">
        <v>0.61</v>
      </c>
      <c r="DGP19" s="173">
        <v>0.61</v>
      </c>
      <c r="DGQ19" s="173">
        <v>0.61</v>
      </c>
      <c r="DGR19" s="173">
        <v>0.6</v>
      </c>
      <c r="DGS19" s="174">
        <v>0.6</v>
      </c>
      <c r="DGT19" s="173">
        <v>0.6</v>
      </c>
      <c r="DGU19" s="174">
        <v>0.59</v>
      </c>
      <c r="DGV19" s="175">
        <v>0.59</v>
      </c>
      <c r="DGW19" s="175">
        <v>0.58</v>
      </c>
      <c r="DGX19" s="175">
        <v>0.57</v>
      </c>
      <c r="DGY19" s="175">
        <v>0.55</v>
      </c>
      <c r="DGZ19" s="175">
        <v>0.53</v>
      </c>
      <c r="DHA19" s="157" t="s">
        <v>67</v>
      </c>
      <c r="DHB19" s="157"/>
      <c r="DHC19" s="157"/>
      <c r="DHD19" s="173">
        <v>0.62</v>
      </c>
      <c r="DHE19" s="173">
        <v>0.61</v>
      </c>
      <c r="DHF19" s="173">
        <v>0.61</v>
      </c>
      <c r="DHG19" s="173">
        <v>0.61</v>
      </c>
      <c r="DHH19" s="173">
        <v>0.6</v>
      </c>
      <c r="DHI19" s="174">
        <v>0.6</v>
      </c>
      <c r="DHJ19" s="173">
        <v>0.6</v>
      </c>
      <c r="DHK19" s="174">
        <v>0.59</v>
      </c>
      <c r="DHL19" s="175">
        <v>0.59</v>
      </c>
      <c r="DHM19" s="175">
        <v>0.58</v>
      </c>
      <c r="DHN19" s="175">
        <v>0.57</v>
      </c>
      <c r="DHO19" s="175">
        <v>0.55</v>
      </c>
      <c r="DHP19" s="175">
        <v>0.53</v>
      </c>
      <c r="DHQ19" s="157" t="s">
        <v>67</v>
      </c>
      <c r="DHR19" s="157"/>
      <c r="DHS19" s="157"/>
      <c r="DHT19" s="173">
        <v>0.62</v>
      </c>
      <c r="DHU19" s="173">
        <v>0.61</v>
      </c>
      <c r="DHV19" s="173">
        <v>0.61</v>
      </c>
      <c r="DHW19" s="173">
        <v>0.61</v>
      </c>
      <c r="DHX19" s="173">
        <v>0.6</v>
      </c>
      <c r="DHY19" s="174">
        <v>0.6</v>
      </c>
      <c r="DHZ19" s="173">
        <v>0.6</v>
      </c>
      <c r="DIA19" s="174">
        <v>0.59</v>
      </c>
      <c r="DIB19" s="175">
        <v>0.59</v>
      </c>
      <c r="DIC19" s="175">
        <v>0.58</v>
      </c>
      <c r="DID19" s="175">
        <v>0.57</v>
      </c>
      <c r="DIE19" s="175">
        <v>0.55</v>
      </c>
      <c r="DIF19" s="175">
        <v>0.53</v>
      </c>
      <c r="DIG19" s="157" t="s">
        <v>67</v>
      </c>
      <c r="DIH19" s="157"/>
      <c r="DII19" s="157"/>
      <c r="DIJ19" s="173">
        <v>0.62</v>
      </c>
      <c r="DIK19" s="173">
        <v>0.61</v>
      </c>
      <c r="DIL19" s="173">
        <v>0.61</v>
      </c>
      <c r="DIM19" s="173">
        <v>0.61</v>
      </c>
      <c r="DIN19" s="173">
        <v>0.6</v>
      </c>
      <c r="DIO19" s="174">
        <v>0.6</v>
      </c>
      <c r="DIP19" s="173">
        <v>0.6</v>
      </c>
      <c r="DIQ19" s="174">
        <v>0.59</v>
      </c>
      <c r="DIR19" s="175">
        <v>0.59</v>
      </c>
      <c r="DIS19" s="175">
        <v>0.58</v>
      </c>
      <c r="DIT19" s="175">
        <v>0.57</v>
      </c>
      <c r="DIU19" s="175">
        <v>0.55</v>
      </c>
      <c r="DIV19" s="175">
        <v>0.53</v>
      </c>
      <c r="DIW19" s="157" t="s">
        <v>67</v>
      </c>
      <c r="DIX19" s="157"/>
      <c r="DIY19" s="157"/>
      <c r="DIZ19" s="173">
        <v>0.62</v>
      </c>
      <c r="DJA19" s="173">
        <v>0.61</v>
      </c>
      <c r="DJB19" s="173">
        <v>0.61</v>
      </c>
      <c r="DJC19" s="173">
        <v>0.61</v>
      </c>
      <c r="DJD19" s="173">
        <v>0.6</v>
      </c>
      <c r="DJE19" s="174">
        <v>0.6</v>
      </c>
      <c r="DJF19" s="173">
        <v>0.6</v>
      </c>
      <c r="DJG19" s="174">
        <v>0.59</v>
      </c>
      <c r="DJH19" s="175">
        <v>0.59</v>
      </c>
      <c r="DJI19" s="175">
        <v>0.58</v>
      </c>
      <c r="DJJ19" s="175">
        <v>0.57</v>
      </c>
      <c r="DJK19" s="175">
        <v>0.55</v>
      </c>
      <c r="DJL19" s="175">
        <v>0.53</v>
      </c>
      <c r="DJM19" s="157" t="s">
        <v>67</v>
      </c>
      <c r="DJN19" s="157"/>
      <c r="DJO19" s="157"/>
      <c r="DJP19" s="173">
        <v>0.62</v>
      </c>
      <c r="DJQ19" s="173">
        <v>0.61</v>
      </c>
      <c r="DJR19" s="173">
        <v>0.61</v>
      </c>
      <c r="DJS19" s="173">
        <v>0.61</v>
      </c>
      <c r="DJT19" s="173">
        <v>0.6</v>
      </c>
      <c r="DJU19" s="174">
        <v>0.6</v>
      </c>
      <c r="DJV19" s="173">
        <v>0.6</v>
      </c>
      <c r="DJW19" s="174">
        <v>0.59</v>
      </c>
      <c r="DJX19" s="175">
        <v>0.59</v>
      </c>
      <c r="DJY19" s="175">
        <v>0.58</v>
      </c>
      <c r="DJZ19" s="175">
        <v>0.57</v>
      </c>
      <c r="DKA19" s="175">
        <v>0.55</v>
      </c>
      <c r="DKB19" s="175">
        <v>0.53</v>
      </c>
      <c r="DKC19" s="157" t="s">
        <v>67</v>
      </c>
      <c r="DKD19" s="157"/>
      <c r="DKE19" s="157"/>
      <c r="DKF19" s="173">
        <v>0.62</v>
      </c>
      <c r="DKG19" s="173">
        <v>0.61</v>
      </c>
      <c r="DKH19" s="173">
        <v>0.61</v>
      </c>
      <c r="DKI19" s="173">
        <v>0.61</v>
      </c>
      <c r="DKJ19" s="173">
        <v>0.6</v>
      </c>
      <c r="DKK19" s="174">
        <v>0.6</v>
      </c>
      <c r="DKL19" s="173">
        <v>0.6</v>
      </c>
      <c r="DKM19" s="174">
        <v>0.59</v>
      </c>
      <c r="DKN19" s="175">
        <v>0.59</v>
      </c>
      <c r="DKO19" s="175">
        <v>0.58</v>
      </c>
      <c r="DKP19" s="175">
        <v>0.57</v>
      </c>
      <c r="DKQ19" s="175">
        <v>0.55</v>
      </c>
      <c r="DKR19" s="175">
        <v>0.53</v>
      </c>
      <c r="DKS19" s="157" t="s">
        <v>67</v>
      </c>
      <c r="DKT19" s="157"/>
      <c r="DKU19" s="157"/>
      <c r="DKV19" s="173">
        <v>0.62</v>
      </c>
      <c r="DKW19" s="173">
        <v>0.61</v>
      </c>
      <c r="DKX19" s="173">
        <v>0.61</v>
      </c>
      <c r="DKY19" s="173">
        <v>0.61</v>
      </c>
      <c r="DKZ19" s="173">
        <v>0.6</v>
      </c>
      <c r="DLA19" s="174">
        <v>0.6</v>
      </c>
      <c r="DLB19" s="173">
        <v>0.6</v>
      </c>
      <c r="DLC19" s="174">
        <v>0.59</v>
      </c>
      <c r="DLD19" s="175">
        <v>0.59</v>
      </c>
      <c r="DLE19" s="175">
        <v>0.58</v>
      </c>
      <c r="DLF19" s="175">
        <v>0.57</v>
      </c>
      <c r="DLG19" s="175">
        <v>0.55</v>
      </c>
      <c r="DLH19" s="175">
        <v>0.53</v>
      </c>
      <c r="DLI19" s="157" t="s">
        <v>67</v>
      </c>
      <c r="DLJ19" s="157"/>
      <c r="DLK19" s="157"/>
      <c r="DLL19" s="173">
        <v>0.62</v>
      </c>
      <c r="DLM19" s="173">
        <v>0.61</v>
      </c>
      <c r="DLN19" s="173">
        <v>0.61</v>
      </c>
      <c r="DLO19" s="173">
        <v>0.61</v>
      </c>
      <c r="DLP19" s="173">
        <v>0.6</v>
      </c>
      <c r="DLQ19" s="174">
        <v>0.6</v>
      </c>
      <c r="DLR19" s="173">
        <v>0.6</v>
      </c>
      <c r="DLS19" s="174">
        <v>0.59</v>
      </c>
      <c r="DLT19" s="175">
        <v>0.59</v>
      </c>
      <c r="DLU19" s="175">
        <v>0.58</v>
      </c>
      <c r="DLV19" s="175">
        <v>0.57</v>
      </c>
      <c r="DLW19" s="175">
        <v>0.55</v>
      </c>
      <c r="DLX19" s="175">
        <v>0.53</v>
      </c>
      <c r="DLY19" s="157" t="s">
        <v>67</v>
      </c>
      <c r="DLZ19" s="157"/>
      <c r="DMA19" s="157"/>
      <c r="DMB19" s="173">
        <v>0.62</v>
      </c>
      <c r="DMC19" s="173">
        <v>0.61</v>
      </c>
      <c r="DMD19" s="173">
        <v>0.61</v>
      </c>
      <c r="DME19" s="173">
        <v>0.61</v>
      </c>
      <c r="DMF19" s="173">
        <v>0.6</v>
      </c>
      <c r="DMG19" s="174">
        <v>0.6</v>
      </c>
      <c r="DMH19" s="173">
        <v>0.6</v>
      </c>
      <c r="DMI19" s="174">
        <v>0.59</v>
      </c>
      <c r="DMJ19" s="175">
        <v>0.59</v>
      </c>
      <c r="DMK19" s="175">
        <v>0.58</v>
      </c>
      <c r="DML19" s="175">
        <v>0.57</v>
      </c>
      <c r="DMM19" s="175">
        <v>0.55</v>
      </c>
      <c r="DMN19" s="175">
        <v>0.53</v>
      </c>
      <c r="DMO19" s="157" t="s">
        <v>67</v>
      </c>
      <c r="DMP19" s="157"/>
      <c r="DMQ19" s="157"/>
      <c r="DMR19" s="173">
        <v>0.62</v>
      </c>
      <c r="DMS19" s="173">
        <v>0.61</v>
      </c>
      <c r="DMT19" s="173">
        <v>0.61</v>
      </c>
      <c r="DMU19" s="173">
        <v>0.61</v>
      </c>
      <c r="DMV19" s="173">
        <v>0.6</v>
      </c>
      <c r="DMW19" s="174">
        <v>0.6</v>
      </c>
      <c r="DMX19" s="173">
        <v>0.6</v>
      </c>
      <c r="DMY19" s="174">
        <v>0.59</v>
      </c>
      <c r="DMZ19" s="175">
        <v>0.59</v>
      </c>
      <c r="DNA19" s="175">
        <v>0.58</v>
      </c>
      <c r="DNB19" s="175">
        <v>0.57</v>
      </c>
      <c r="DNC19" s="175">
        <v>0.55</v>
      </c>
      <c r="DND19" s="175">
        <v>0.53</v>
      </c>
      <c r="DNE19" s="157" t="s">
        <v>67</v>
      </c>
      <c r="DNF19" s="157"/>
      <c r="DNG19" s="157"/>
      <c r="DNH19" s="173">
        <v>0.62</v>
      </c>
      <c r="DNI19" s="173">
        <v>0.61</v>
      </c>
      <c r="DNJ19" s="173">
        <v>0.61</v>
      </c>
      <c r="DNK19" s="173">
        <v>0.61</v>
      </c>
      <c r="DNL19" s="173">
        <v>0.6</v>
      </c>
      <c r="DNM19" s="174">
        <v>0.6</v>
      </c>
      <c r="DNN19" s="173">
        <v>0.6</v>
      </c>
      <c r="DNO19" s="174">
        <v>0.59</v>
      </c>
      <c r="DNP19" s="175">
        <v>0.59</v>
      </c>
      <c r="DNQ19" s="175">
        <v>0.58</v>
      </c>
      <c r="DNR19" s="175">
        <v>0.57</v>
      </c>
      <c r="DNS19" s="175">
        <v>0.55</v>
      </c>
      <c r="DNT19" s="175">
        <v>0.53</v>
      </c>
      <c r="DNU19" s="157" t="s">
        <v>67</v>
      </c>
      <c r="DNV19" s="157"/>
      <c r="DNW19" s="157"/>
      <c r="DNX19" s="173">
        <v>0.62</v>
      </c>
      <c r="DNY19" s="173">
        <v>0.61</v>
      </c>
      <c r="DNZ19" s="173">
        <v>0.61</v>
      </c>
      <c r="DOA19" s="173">
        <v>0.61</v>
      </c>
      <c r="DOB19" s="173">
        <v>0.6</v>
      </c>
      <c r="DOC19" s="174">
        <v>0.6</v>
      </c>
      <c r="DOD19" s="173">
        <v>0.6</v>
      </c>
      <c r="DOE19" s="174">
        <v>0.59</v>
      </c>
      <c r="DOF19" s="175">
        <v>0.59</v>
      </c>
      <c r="DOG19" s="175">
        <v>0.58</v>
      </c>
      <c r="DOH19" s="175">
        <v>0.57</v>
      </c>
      <c r="DOI19" s="175">
        <v>0.55</v>
      </c>
      <c r="DOJ19" s="175">
        <v>0.53</v>
      </c>
      <c r="DOK19" s="157" t="s">
        <v>67</v>
      </c>
      <c r="DOL19" s="157"/>
      <c r="DOM19" s="157"/>
      <c r="DON19" s="173">
        <v>0.62</v>
      </c>
      <c r="DOO19" s="173">
        <v>0.61</v>
      </c>
      <c r="DOP19" s="173">
        <v>0.61</v>
      </c>
      <c r="DOQ19" s="173">
        <v>0.61</v>
      </c>
      <c r="DOR19" s="173">
        <v>0.6</v>
      </c>
      <c r="DOS19" s="174">
        <v>0.6</v>
      </c>
      <c r="DOT19" s="173">
        <v>0.6</v>
      </c>
      <c r="DOU19" s="174">
        <v>0.59</v>
      </c>
      <c r="DOV19" s="175">
        <v>0.59</v>
      </c>
      <c r="DOW19" s="175">
        <v>0.58</v>
      </c>
      <c r="DOX19" s="175">
        <v>0.57</v>
      </c>
      <c r="DOY19" s="175">
        <v>0.55</v>
      </c>
      <c r="DOZ19" s="175">
        <v>0.53</v>
      </c>
      <c r="DPA19" s="157" t="s">
        <v>67</v>
      </c>
      <c r="DPB19" s="157"/>
      <c r="DPC19" s="157"/>
      <c r="DPD19" s="173">
        <v>0.62</v>
      </c>
      <c r="DPE19" s="173">
        <v>0.61</v>
      </c>
      <c r="DPF19" s="173">
        <v>0.61</v>
      </c>
      <c r="DPG19" s="173">
        <v>0.61</v>
      </c>
      <c r="DPH19" s="173">
        <v>0.6</v>
      </c>
      <c r="DPI19" s="174">
        <v>0.6</v>
      </c>
      <c r="DPJ19" s="173">
        <v>0.6</v>
      </c>
      <c r="DPK19" s="174">
        <v>0.59</v>
      </c>
      <c r="DPL19" s="175">
        <v>0.59</v>
      </c>
      <c r="DPM19" s="175">
        <v>0.58</v>
      </c>
      <c r="DPN19" s="175">
        <v>0.57</v>
      </c>
      <c r="DPO19" s="175">
        <v>0.55</v>
      </c>
      <c r="DPP19" s="175">
        <v>0.53</v>
      </c>
      <c r="DPQ19" s="157" t="s">
        <v>67</v>
      </c>
      <c r="DPR19" s="157"/>
      <c r="DPS19" s="157"/>
      <c r="DPT19" s="173">
        <v>0.62</v>
      </c>
      <c r="DPU19" s="173">
        <v>0.61</v>
      </c>
      <c r="DPV19" s="173">
        <v>0.61</v>
      </c>
      <c r="DPW19" s="173">
        <v>0.61</v>
      </c>
      <c r="DPX19" s="173">
        <v>0.6</v>
      </c>
      <c r="DPY19" s="174">
        <v>0.6</v>
      </c>
      <c r="DPZ19" s="173">
        <v>0.6</v>
      </c>
      <c r="DQA19" s="174">
        <v>0.59</v>
      </c>
      <c r="DQB19" s="175">
        <v>0.59</v>
      </c>
      <c r="DQC19" s="175">
        <v>0.58</v>
      </c>
      <c r="DQD19" s="175">
        <v>0.57</v>
      </c>
      <c r="DQE19" s="175">
        <v>0.55</v>
      </c>
      <c r="DQF19" s="175">
        <v>0.53</v>
      </c>
      <c r="DQG19" s="157" t="s">
        <v>67</v>
      </c>
      <c r="DQH19" s="157"/>
      <c r="DQI19" s="157"/>
      <c r="DQJ19" s="173">
        <v>0.62</v>
      </c>
      <c r="DQK19" s="173">
        <v>0.61</v>
      </c>
      <c r="DQL19" s="173">
        <v>0.61</v>
      </c>
      <c r="DQM19" s="173">
        <v>0.61</v>
      </c>
      <c r="DQN19" s="173">
        <v>0.6</v>
      </c>
      <c r="DQO19" s="174">
        <v>0.6</v>
      </c>
      <c r="DQP19" s="173">
        <v>0.6</v>
      </c>
      <c r="DQQ19" s="174">
        <v>0.59</v>
      </c>
      <c r="DQR19" s="175">
        <v>0.59</v>
      </c>
      <c r="DQS19" s="175">
        <v>0.58</v>
      </c>
      <c r="DQT19" s="175">
        <v>0.57</v>
      </c>
      <c r="DQU19" s="175">
        <v>0.55</v>
      </c>
      <c r="DQV19" s="175">
        <v>0.53</v>
      </c>
      <c r="DQW19" s="157" t="s">
        <v>67</v>
      </c>
      <c r="DQX19" s="157"/>
      <c r="DQY19" s="157"/>
      <c r="DQZ19" s="173">
        <v>0.62</v>
      </c>
      <c r="DRA19" s="173">
        <v>0.61</v>
      </c>
      <c r="DRB19" s="173">
        <v>0.61</v>
      </c>
      <c r="DRC19" s="173">
        <v>0.61</v>
      </c>
      <c r="DRD19" s="173">
        <v>0.6</v>
      </c>
      <c r="DRE19" s="174">
        <v>0.6</v>
      </c>
      <c r="DRF19" s="173">
        <v>0.6</v>
      </c>
      <c r="DRG19" s="174">
        <v>0.59</v>
      </c>
      <c r="DRH19" s="175">
        <v>0.59</v>
      </c>
      <c r="DRI19" s="175">
        <v>0.58</v>
      </c>
      <c r="DRJ19" s="175">
        <v>0.57</v>
      </c>
      <c r="DRK19" s="175">
        <v>0.55</v>
      </c>
      <c r="DRL19" s="175">
        <v>0.53</v>
      </c>
      <c r="DRM19" s="157" t="s">
        <v>67</v>
      </c>
      <c r="DRN19" s="157"/>
      <c r="DRO19" s="157"/>
      <c r="DRP19" s="173">
        <v>0.62</v>
      </c>
      <c r="DRQ19" s="173">
        <v>0.61</v>
      </c>
      <c r="DRR19" s="173">
        <v>0.61</v>
      </c>
      <c r="DRS19" s="173">
        <v>0.61</v>
      </c>
      <c r="DRT19" s="173">
        <v>0.6</v>
      </c>
      <c r="DRU19" s="174">
        <v>0.6</v>
      </c>
      <c r="DRV19" s="173">
        <v>0.6</v>
      </c>
      <c r="DRW19" s="174">
        <v>0.59</v>
      </c>
      <c r="DRX19" s="175">
        <v>0.59</v>
      </c>
      <c r="DRY19" s="175">
        <v>0.58</v>
      </c>
      <c r="DRZ19" s="175">
        <v>0.57</v>
      </c>
      <c r="DSA19" s="175">
        <v>0.55</v>
      </c>
      <c r="DSB19" s="175">
        <v>0.53</v>
      </c>
      <c r="DSC19" s="157" t="s">
        <v>67</v>
      </c>
      <c r="DSD19" s="157"/>
      <c r="DSE19" s="157"/>
      <c r="DSF19" s="173">
        <v>0.62</v>
      </c>
      <c r="DSG19" s="173">
        <v>0.61</v>
      </c>
      <c r="DSH19" s="173">
        <v>0.61</v>
      </c>
      <c r="DSI19" s="173">
        <v>0.61</v>
      </c>
      <c r="DSJ19" s="173">
        <v>0.6</v>
      </c>
      <c r="DSK19" s="174">
        <v>0.6</v>
      </c>
      <c r="DSL19" s="173">
        <v>0.6</v>
      </c>
      <c r="DSM19" s="174">
        <v>0.59</v>
      </c>
      <c r="DSN19" s="175">
        <v>0.59</v>
      </c>
      <c r="DSO19" s="175">
        <v>0.58</v>
      </c>
      <c r="DSP19" s="175">
        <v>0.57</v>
      </c>
      <c r="DSQ19" s="175">
        <v>0.55</v>
      </c>
      <c r="DSR19" s="175">
        <v>0.53</v>
      </c>
      <c r="DSS19" s="157" t="s">
        <v>67</v>
      </c>
      <c r="DST19" s="157"/>
      <c r="DSU19" s="157"/>
      <c r="DSV19" s="173">
        <v>0.62</v>
      </c>
      <c r="DSW19" s="173">
        <v>0.61</v>
      </c>
      <c r="DSX19" s="173">
        <v>0.61</v>
      </c>
      <c r="DSY19" s="173">
        <v>0.61</v>
      </c>
      <c r="DSZ19" s="173">
        <v>0.6</v>
      </c>
      <c r="DTA19" s="174">
        <v>0.6</v>
      </c>
      <c r="DTB19" s="173">
        <v>0.6</v>
      </c>
      <c r="DTC19" s="174">
        <v>0.59</v>
      </c>
      <c r="DTD19" s="175">
        <v>0.59</v>
      </c>
      <c r="DTE19" s="175">
        <v>0.58</v>
      </c>
      <c r="DTF19" s="175">
        <v>0.57</v>
      </c>
      <c r="DTG19" s="175">
        <v>0.55</v>
      </c>
      <c r="DTH19" s="175">
        <v>0.53</v>
      </c>
      <c r="DTI19" s="157" t="s">
        <v>67</v>
      </c>
      <c r="DTJ19" s="157"/>
      <c r="DTK19" s="157"/>
      <c r="DTL19" s="173">
        <v>0.62</v>
      </c>
      <c r="DTM19" s="173">
        <v>0.61</v>
      </c>
      <c r="DTN19" s="173">
        <v>0.61</v>
      </c>
      <c r="DTO19" s="173">
        <v>0.61</v>
      </c>
      <c r="DTP19" s="173">
        <v>0.6</v>
      </c>
      <c r="DTQ19" s="174">
        <v>0.6</v>
      </c>
      <c r="DTR19" s="173">
        <v>0.6</v>
      </c>
      <c r="DTS19" s="174">
        <v>0.59</v>
      </c>
      <c r="DTT19" s="175">
        <v>0.59</v>
      </c>
      <c r="DTU19" s="175">
        <v>0.58</v>
      </c>
      <c r="DTV19" s="175">
        <v>0.57</v>
      </c>
      <c r="DTW19" s="175">
        <v>0.55</v>
      </c>
      <c r="DTX19" s="175">
        <v>0.53</v>
      </c>
      <c r="DTY19" s="157" t="s">
        <v>67</v>
      </c>
      <c r="DTZ19" s="157"/>
      <c r="DUA19" s="157"/>
      <c r="DUB19" s="173">
        <v>0.62</v>
      </c>
      <c r="DUC19" s="173">
        <v>0.61</v>
      </c>
      <c r="DUD19" s="173">
        <v>0.61</v>
      </c>
      <c r="DUE19" s="173">
        <v>0.61</v>
      </c>
      <c r="DUF19" s="173">
        <v>0.6</v>
      </c>
      <c r="DUG19" s="174">
        <v>0.6</v>
      </c>
      <c r="DUH19" s="173">
        <v>0.6</v>
      </c>
      <c r="DUI19" s="174">
        <v>0.59</v>
      </c>
      <c r="DUJ19" s="175">
        <v>0.59</v>
      </c>
      <c r="DUK19" s="175">
        <v>0.58</v>
      </c>
      <c r="DUL19" s="175">
        <v>0.57</v>
      </c>
      <c r="DUM19" s="175">
        <v>0.55</v>
      </c>
      <c r="DUN19" s="175">
        <v>0.53</v>
      </c>
      <c r="DUO19" s="157" t="s">
        <v>67</v>
      </c>
      <c r="DUP19" s="157"/>
      <c r="DUQ19" s="157"/>
      <c r="DUR19" s="173">
        <v>0.62</v>
      </c>
      <c r="DUS19" s="173">
        <v>0.61</v>
      </c>
      <c r="DUT19" s="173">
        <v>0.61</v>
      </c>
      <c r="DUU19" s="173">
        <v>0.61</v>
      </c>
      <c r="DUV19" s="173">
        <v>0.6</v>
      </c>
      <c r="DUW19" s="174">
        <v>0.6</v>
      </c>
      <c r="DUX19" s="173">
        <v>0.6</v>
      </c>
      <c r="DUY19" s="174">
        <v>0.59</v>
      </c>
      <c r="DUZ19" s="175">
        <v>0.59</v>
      </c>
      <c r="DVA19" s="175">
        <v>0.58</v>
      </c>
      <c r="DVB19" s="175">
        <v>0.57</v>
      </c>
      <c r="DVC19" s="175">
        <v>0.55</v>
      </c>
      <c r="DVD19" s="175">
        <v>0.53</v>
      </c>
      <c r="DVE19" s="157" t="s">
        <v>67</v>
      </c>
      <c r="DVF19" s="157"/>
      <c r="DVG19" s="157"/>
      <c r="DVH19" s="173">
        <v>0.62</v>
      </c>
      <c r="DVI19" s="173">
        <v>0.61</v>
      </c>
      <c r="DVJ19" s="173">
        <v>0.61</v>
      </c>
      <c r="DVK19" s="173">
        <v>0.61</v>
      </c>
      <c r="DVL19" s="173">
        <v>0.6</v>
      </c>
      <c r="DVM19" s="174">
        <v>0.6</v>
      </c>
      <c r="DVN19" s="173">
        <v>0.6</v>
      </c>
      <c r="DVO19" s="174">
        <v>0.59</v>
      </c>
      <c r="DVP19" s="175">
        <v>0.59</v>
      </c>
      <c r="DVQ19" s="175">
        <v>0.58</v>
      </c>
      <c r="DVR19" s="175">
        <v>0.57</v>
      </c>
      <c r="DVS19" s="175">
        <v>0.55</v>
      </c>
      <c r="DVT19" s="175">
        <v>0.53</v>
      </c>
      <c r="DVU19" s="157" t="s">
        <v>67</v>
      </c>
      <c r="DVV19" s="157"/>
      <c r="DVW19" s="157"/>
      <c r="DVX19" s="173">
        <v>0.62</v>
      </c>
      <c r="DVY19" s="173">
        <v>0.61</v>
      </c>
      <c r="DVZ19" s="173">
        <v>0.61</v>
      </c>
      <c r="DWA19" s="173">
        <v>0.61</v>
      </c>
      <c r="DWB19" s="173">
        <v>0.6</v>
      </c>
      <c r="DWC19" s="174">
        <v>0.6</v>
      </c>
      <c r="DWD19" s="173">
        <v>0.6</v>
      </c>
      <c r="DWE19" s="174">
        <v>0.59</v>
      </c>
      <c r="DWF19" s="175">
        <v>0.59</v>
      </c>
      <c r="DWG19" s="175">
        <v>0.58</v>
      </c>
      <c r="DWH19" s="175">
        <v>0.57</v>
      </c>
      <c r="DWI19" s="175">
        <v>0.55</v>
      </c>
      <c r="DWJ19" s="175">
        <v>0.53</v>
      </c>
      <c r="DWK19" s="157" t="s">
        <v>67</v>
      </c>
      <c r="DWL19" s="157"/>
      <c r="DWM19" s="157"/>
      <c r="DWN19" s="173">
        <v>0.62</v>
      </c>
      <c r="DWO19" s="173">
        <v>0.61</v>
      </c>
      <c r="DWP19" s="173">
        <v>0.61</v>
      </c>
      <c r="DWQ19" s="173">
        <v>0.61</v>
      </c>
      <c r="DWR19" s="173">
        <v>0.6</v>
      </c>
      <c r="DWS19" s="174">
        <v>0.6</v>
      </c>
      <c r="DWT19" s="173">
        <v>0.6</v>
      </c>
      <c r="DWU19" s="174">
        <v>0.59</v>
      </c>
      <c r="DWV19" s="175">
        <v>0.59</v>
      </c>
      <c r="DWW19" s="175">
        <v>0.58</v>
      </c>
      <c r="DWX19" s="175">
        <v>0.57</v>
      </c>
      <c r="DWY19" s="175">
        <v>0.55</v>
      </c>
      <c r="DWZ19" s="175">
        <v>0.53</v>
      </c>
      <c r="DXA19" s="157" t="s">
        <v>67</v>
      </c>
      <c r="DXB19" s="157"/>
      <c r="DXC19" s="157"/>
      <c r="DXD19" s="173">
        <v>0.62</v>
      </c>
      <c r="DXE19" s="173">
        <v>0.61</v>
      </c>
      <c r="DXF19" s="173">
        <v>0.61</v>
      </c>
      <c r="DXG19" s="173">
        <v>0.61</v>
      </c>
      <c r="DXH19" s="173">
        <v>0.6</v>
      </c>
      <c r="DXI19" s="174">
        <v>0.6</v>
      </c>
      <c r="DXJ19" s="173">
        <v>0.6</v>
      </c>
      <c r="DXK19" s="174">
        <v>0.59</v>
      </c>
      <c r="DXL19" s="175">
        <v>0.59</v>
      </c>
      <c r="DXM19" s="175">
        <v>0.58</v>
      </c>
      <c r="DXN19" s="175">
        <v>0.57</v>
      </c>
      <c r="DXO19" s="175">
        <v>0.55</v>
      </c>
      <c r="DXP19" s="175">
        <v>0.53</v>
      </c>
      <c r="DXQ19" s="157" t="s">
        <v>67</v>
      </c>
      <c r="DXR19" s="157"/>
      <c r="DXS19" s="157"/>
      <c r="DXT19" s="173">
        <v>0.62</v>
      </c>
      <c r="DXU19" s="173">
        <v>0.61</v>
      </c>
      <c r="DXV19" s="173">
        <v>0.61</v>
      </c>
      <c r="DXW19" s="173">
        <v>0.61</v>
      </c>
      <c r="DXX19" s="173">
        <v>0.6</v>
      </c>
      <c r="DXY19" s="174">
        <v>0.6</v>
      </c>
      <c r="DXZ19" s="173">
        <v>0.6</v>
      </c>
      <c r="DYA19" s="174">
        <v>0.59</v>
      </c>
      <c r="DYB19" s="175">
        <v>0.59</v>
      </c>
      <c r="DYC19" s="175">
        <v>0.58</v>
      </c>
      <c r="DYD19" s="175">
        <v>0.57</v>
      </c>
      <c r="DYE19" s="175">
        <v>0.55</v>
      </c>
      <c r="DYF19" s="175">
        <v>0.53</v>
      </c>
      <c r="DYG19" s="157" t="s">
        <v>67</v>
      </c>
      <c r="DYH19" s="157"/>
      <c r="DYI19" s="157"/>
      <c r="DYJ19" s="173">
        <v>0.62</v>
      </c>
      <c r="DYK19" s="173">
        <v>0.61</v>
      </c>
      <c r="DYL19" s="173">
        <v>0.61</v>
      </c>
      <c r="DYM19" s="173">
        <v>0.61</v>
      </c>
      <c r="DYN19" s="173">
        <v>0.6</v>
      </c>
      <c r="DYO19" s="174">
        <v>0.6</v>
      </c>
      <c r="DYP19" s="173">
        <v>0.6</v>
      </c>
      <c r="DYQ19" s="174">
        <v>0.59</v>
      </c>
      <c r="DYR19" s="175">
        <v>0.59</v>
      </c>
      <c r="DYS19" s="175">
        <v>0.58</v>
      </c>
      <c r="DYT19" s="175">
        <v>0.57</v>
      </c>
      <c r="DYU19" s="175">
        <v>0.55</v>
      </c>
      <c r="DYV19" s="175">
        <v>0.53</v>
      </c>
      <c r="DYW19" s="157" t="s">
        <v>67</v>
      </c>
      <c r="DYX19" s="157"/>
      <c r="DYY19" s="157"/>
      <c r="DYZ19" s="173">
        <v>0.62</v>
      </c>
      <c r="DZA19" s="173">
        <v>0.61</v>
      </c>
      <c r="DZB19" s="173">
        <v>0.61</v>
      </c>
      <c r="DZC19" s="173">
        <v>0.61</v>
      </c>
      <c r="DZD19" s="173">
        <v>0.6</v>
      </c>
      <c r="DZE19" s="174">
        <v>0.6</v>
      </c>
      <c r="DZF19" s="173">
        <v>0.6</v>
      </c>
      <c r="DZG19" s="174">
        <v>0.59</v>
      </c>
      <c r="DZH19" s="175">
        <v>0.59</v>
      </c>
      <c r="DZI19" s="175">
        <v>0.58</v>
      </c>
      <c r="DZJ19" s="175">
        <v>0.57</v>
      </c>
      <c r="DZK19" s="175">
        <v>0.55</v>
      </c>
      <c r="DZL19" s="175">
        <v>0.53</v>
      </c>
      <c r="DZM19" s="157" t="s">
        <v>67</v>
      </c>
      <c r="DZN19" s="157"/>
      <c r="DZO19" s="157"/>
      <c r="DZP19" s="173">
        <v>0.62</v>
      </c>
      <c r="DZQ19" s="173">
        <v>0.61</v>
      </c>
      <c r="DZR19" s="173">
        <v>0.61</v>
      </c>
      <c r="DZS19" s="173">
        <v>0.61</v>
      </c>
      <c r="DZT19" s="173">
        <v>0.6</v>
      </c>
      <c r="DZU19" s="174">
        <v>0.6</v>
      </c>
      <c r="DZV19" s="173">
        <v>0.6</v>
      </c>
      <c r="DZW19" s="174">
        <v>0.59</v>
      </c>
      <c r="DZX19" s="175">
        <v>0.59</v>
      </c>
      <c r="DZY19" s="175">
        <v>0.58</v>
      </c>
      <c r="DZZ19" s="175">
        <v>0.57</v>
      </c>
      <c r="EAA19" s="175">
        <v>0.55</v>
      </c>
      <c r="EAB19" s="175">
        <v>0.53</v>
      </c>
      <c r="EAC19" s="157" t="s">
        <v>67</v>
      </c>
      <c r="EAD19" s="157"/>
      <c r="EAE19" s="157"/>
      <c r="EAF19" s="173">
        <v>0.62</v>
      </c>
      <c r="EAG19" s="173">
        <v>0.61</v>
      </c>
      <c r="EAH19" s="173">
        <v>0.61</v>
      </c>
      <c r="EAI19" s="173">
        <v>0.61</v>
      </c>
      <c r="EAJ19" s="173">
        <v>0.6</v>
      </c>
      <c r="EAK19" s="174">
        <v>0.6</v>
      </c>
      <c r="EAL19" s="173">
        <v>0.6</v>
      </c>
      <c r="EAM19" s="174">
        <v>0.59</v>
      </c>
      <c r="EAN19" s="175">
        <v>0.59</v>
      </c>
      <c r="EAO19" s="175">
        <v>0.58</v>
      </c>
      <c r="EAP19" s="175">
        <v>0.57</v>
      </c>
      <c r="EAQ19" s="175">
        <v>0.55</v>
      </c>
      <c r="EAR19" s="175">
        <v>0.53</v>
      </c>
      <c r="EAS19" s="157" t="s">
        <v>67</v>
      </c>
      <c r="EAT19" s="157"/>
      <c r="EAU19" s="157"/>
      <c r="EAV19" s="173">
        <v>0.62</v>
      </c>
      <c r="EAW19" s="173">
        <v>0.61</v>
      </c>
      <c r="EAX19" s="173">
        <v>0.61</v>
      </c>
      <c r="EAY19" s="173">
        <v>0.61</v>
      </c>
      <c r="EAZ19" s="173">
        <v>0.6</v>
      </c>
      <c r="EBA19" s="174">
        <v>0.6</v>
      </c>
      <c r="EBB19" s="173">
        <v>0.6</v>
      </c>
      <c r="EBC19" s="174">
        <v>0.59</v>
      </c>
      <c r="EBD19" s="175">
        <v>0.59</v>
      </c>
      <c r="EBE19" s="175">
        <v>0.58</v>
      </c>
      <c r="EBF19" s="175">
        <v>0.57</v>
      </c>
      <c r="EBG19" s="175">
        <v>0.55</v>
      </c>
      <c r="EBH19" s="175">
        <v>0.53</v>
      </c>
      <c r="EBI19" s="157" t="s">
        <v>67</v>
      </c>
      <c r="EBJ19" s="157"/>
      <c r="EBK19" s="157"/>
      <c r="EBL19" s="173">
        <v>0.62</v>
      </c>
      <c r="EBM19" s="173">
        <v>0.61</v>
      </c>
      <c r="EBN19" s="173">
        <v>0.61</v>
      </c>
      <c r="EBO19" s="173">
        <v>0.61</v>
      </c>
      <c r="EBP19" s="173">
        <v>0.6</v>
      </c>
      <c r="EBQ19" s="174">
        <v>0.6</v>
      </c>
      <c r="EBR19" s="173">
        <v>0.6</v>
      </c>
      <c r="EBS19" s="174">
        <v>0.59</v>
      </c>
      <c r="EBT19" s="175">
        <v>0.59</v>
      </c>
      <c r="EBU19" s="175">
        <v>0.58</v>
      </c>
      <c r="EBV19" s="175">
        <v>0.57</v>
      </c>
      <c r="EBW19" s="175">
        <v>0.55</v>
      </c>
      <c r="EBX19" s="175">
        <v>0.53</v>
      </c>
      <c r="EBY19" s="157" t="s">
        <v>67</v>
      </c>
      <c r="EBZ19" s="157"/>
      <c r="ECA19" s="157"/>
      <c r="ECB19" s="173">
        <v>0.62</v>
      </c>
      <c r="ECC19" s="173">
        <v>0.61</v>
      </c>
      <c r="ECD19" s="173">
        <v>0.61</v>
      </c>
      <c r="ECE19" s="173">
        <v>0.61</v>
      </c>
      <c r="ECF19" s="173">
        <v>0.6</v>
      </c>
      <c r="ECG19" s="174">
        <v>0.6</v>
      </c>
      <c r="ECH19" s="173">
        <v>0.6</v>
      </c>
      <c r="ECI19" s="174">
        <v>0.59</v>
      </c>
      <c r="ECJ19" s="175">
        <v>0.59</v>
      </c>
      <c r="ECK19" s="175">
        <v>0.58</v>
      </c>
      <c r="ECL19" s="175">
        <v>0.57</v>
      </c>
      <c r="ECM19" s="175">
        <v>0.55</v>
      </c>
      <c r="ECN19" s="175">
        <v>0.53</v>
      </c>
      <c r="ECO19" s="157" t="s">
        <v>67</v>
      </c>
      <c r="ECP19" s="157"/>
      <c r="ECQ19" s="157"/>
      <c r="ECR19" s="173">
        <v>0.62</v>
      </c>
      <c r="ECS19" s="173">
        <v>0.61</v>
      </c>
      <c r="ECT19" s="173">
        <v>0.61</v>
      </c>
      <c r="ECU19" s="173">
        <v>0.61</v>
      </c>
      <c r="ECV19" s="173">
        <v>0.6</v>
      </c>
      <c r="ECW19" s="174">
        <v>0.6</v>
      </c>
      <c r="ECX19" s="173">
        <v>0.6</v>
      </c>
      <c r="ECY19" s="174">
        <v>0.59</v>
      </c>
      <c r="ECZ19" s="175">
        <v>0.59</v>
      </c>
      <c r="EDA19" s="175">
        <v>0.58</v>
      </c>
      <c r="EDB19" s="175">
        <v>0.57</v>
      </c>
      <c r="EDC19" s="175">
        <v>0.55</v>
      </c>
      <c r="EDD19" s="175">
        <v>0.53</v>
      </c>
      <c r="EDE19" s="157" t="s">
        <v>67</v>
      </c>
      <c r="EDF19" s="157"/>
      <c r="EDG19" s="157"/>
      <c r="EDH19" s="173">
        <v>0.62</v>
      </c>
      <c r="EDI19" s="173">
        <v>0.61</v>
      </c>
      <c r="EDJ19" s="173">
        <v>0.61</v>
      </c>
      <c r="EDK19" s="173">
        <v>0.61</v>
      </c>
      <c r="EDL19" s="173">
        <v>0.6</v>
      </c>
      <c r="EDM19" s="174">
        <v>0.6</v>
      </c>
      <c r="EDN19" s="173">
        <v>0.6</v>
      </c>
      <c r="EDO19" s="174">
        <v>0.59</v>
      </c>
      <c r="EDP19" s="175">
        <v>0.59</v>
      </c>
      <c r="EDQ19" s="175">
        <v>0.58</v>
      </c>
      <c r="EDR19" s="175">
        <v>0.57</v>
      </c>
      <c r="EDS19" s="175">
        <v>0.55</v>
      </c>
      <c r="EDT19" s="175">
        <v>0.53</v>
      </c>
      <c r="EDU19" s="157" t="s">
        <v>67</v>
      </c>
      <c r="EDV19" s="157"/>
      <c r="EDW19" s="157"/>
      <c r="EDX19" s="173">
        <v>0.62</v>
      </c>
      <c r="EDY19" s="173">
        <v>0.61</v>
      </c>
      <c r="EDZ19" s="173">
        <v>0.61</v>
      </c>
      <c r="EEA19" s="173">
        <v>0.61</v>
      </c>
      <c r="EEB19" s="173">
        <v>0.6</v>
      </c>
      <c r="EEC19" s="174">
        <v>0.6</v>
      </c>
      <c r="EED19" s="173">
        <v>0.6</v>
      </c>
      <c r="EEE19" s="174">
        <v>0.59</v>
      </c>
      <c r="EEF19" s="175">
        <v>0.59</v>
      </c>
      <c r="EEG19" s="175">
        <v>0.58</v>
      </c>
      <c r="EEH19" s="175">
        <v>0.57</v>
      </c>
      <c r="EEI19" s="175">
        <v>0.55</v>
      </c>
      <c r="EEJ19" s="175">
        <v>0.53</v>
      </c>
      <c r="EEK19" s="157" t="s">
        <v>67</v>
      </c>
      <c r="EEL19" s="157"/>
      <c r="EEM19" s="157"/>
      <c r="EEN19" s="173">
        <v>0.62</v>
      </c>
      <c r="EEO19" s="173">
        <v>0.61</v>
      </c>
      <c r="EEP19" s="173">
        <v>0.61</v>
      </c>
      <c r="EEQ19" s="173">
        <v>0.61</v>
      </c>
      <c r="EER19" s="173">
        <v>0.6</v>
      </c>
      <c r="EES19" s="174">
        <v>0.6</v>
      </c>
      <c r="EET19" s="173">
        <v>0.6</v>
      </c>
      <c r="EEU19" s="174">
        <v>0.59</v>
      </c>
      <c r="EEV19" s="175">
        <v>0.59</v>
      </c>
      <c r="EEW19" s="175">
        <v>0.58</v>
      </c>
      <c r="EEX19" s="175">
        <v>0.57</v>
      </c>
      <c r="EEY19" s="175">
        <v>0.55</v>
      </c>
      <c r="EEZ19" s="175">
        <v>0.53</v>
      </c>
      <c r="EFA19" s="157" t="s">
        <v>67</v>
      </c>
      <c r="EFB19" s="157"/>
      <c r="EFC19" s="157"/>
      <c r="EFD19" s="173">
        <v>0.62</v>
      </c>
      <c r="EFE19" s="173">
        <v>0.61</v>
      </c>
      <c r="EFF19" s="173">
        <v>0.61</v>
      </c>
      <c r="EFG19" s="173">
        <v>0.61</v>
      </c>
      <c r="EFH19" s="173">
        <v>0.6</v>
      </c>
      <c r="EFI19" s="174">
        <v>0.6</v>
      </c>
      <c r="EFJ19" s="173">
        <v>0.6</v>
      </c>
      <c r="EFK19" s="174">
        <v>0.59</v>
      </c>
      <c r="EFL19" s="175">
        <v>0.59</v>
      </c>
      <c r="EFM19" s="175">
        <v>0.58</v>
      </c>
      <c r="EFN19" s="175">
        <v>0.57</v>
      </c>
      <c r="EFO19" s="175">
        <v>0.55</v>
      </c>
      <c r="EFP19" s="175">
        <v>0.53</v>
      </c>
      <c r="EFQ19" s="157" t="s">
        <v>67</v>
      </c>
      <c r="EFR19" s="157"/>
      <c r="EFS19" s="157"/>
      <c r="EFT19" s="173">
        <v>0.62</v>
      </c>
      <c r="EFU19" s="173">
        <v>0.61</v>
      </c>
      <c r="EFV19" s="173">
        <v>0.61</v>
      </c>
      <c r="EFW19" s="173">
        <v>0.61</v>
      </c>
      <c r="EFX19" s="173">
        <v>0.6</v>
      </c>
      <c r="EFY19" s="174">
        <v>0.6</v>
      </c>
      <c r="EFZ19" s="173">
        <v>0.6</v>
      </c>
      <c r="EGA19" s="174">
        <v>0.59</v>
      </c>
      <c r="EGB19" s="175">
        <v>0.59</v>
      </c>
      <c r="EGC19" s="175">
        <v>0.58</v>
      </c>
      <c r="EGD19" s="175">
        <v>0.57</v>
      </c>
      <c r="EGE19" s="175">
        <v>0.55</v>
      </c>
      <c r="EGF19" s="175">
        <v>0.53</v>
      </c>
      <c r="EGG19" s="157" t="s">
        <v>67</v>
      </c>
      <c r="EGH19" s="157"/>
      <c r="EGI19" s="157"/>
      <c r="EGJ19" s="173">
        <v>0.62</v>
      </c>
      <c r="EGK19" s="173">
        <v>0.61</v>
      </c>
      <c r="EGL19" s="173">
        <v>0.61</v>
      </c>
      <c r="EGM19" s="173">
        <v>0.61</v>
      </c>
      <c r="EGN19" s="173">
        <v>0.6</v>
      </c>
      <c r="EGO19" s="174">
        <v>0.6</v>
      </c>
      <c r="EGP19" s="173">
        <v>0.6</v>
      </c>
      <c r="EGQ19" s="174">
        <v>0.59</v>
      </c>
      <c r="EGR19" s="175">
        <v>0.59</v>
      </c>
      <c r="EGS19" s="175">
        <v>0.58</v>
      </c>
      <c r="EGT19" s="175">
        <v>0.57</v>
      </c>
      <c r="EGU19" s="175">
        <v>0.55</v>
      </c>
      <c r="EGV19" s="175">
        <v>0.53</v>
      </c>
      <c r="EGW19" s="157" t="s">
        <v>67</v>
      </c>
      <c r="EGX19" s="157"/>
      <c r="EGY19" s="157"/>
      <c r="EGZ19" s="173">
        <v>0.62</v>
      </c>
      <c r="EHA19" s="173">
        <v>0.61</v>
      </c>
      <c r="EHB19" s="173">
        <v>0.61</v>
      </c>
      <c r="EHC19" s="173">
        <v>0.61</v>
      </c>
      <c r="EHD19" s="173">
        <v>0.6</v>
      </c>
      <c r="EHE19" s="174">
        <v>0.6</v>
      </c>
      <c r="EHF19" s="173">
        <v>0.6</v>
      </c>
      <c r="EHG19" s="174">
        <v>0.59</v>
      </c>
      <c r="EHH19" s="175">
        <v>0.59</v>
      </c>
      <c r="EHI19" s="175">
        <v>0.58</v>
      </c>
      <c r="EHJ19" s="175">
        <v>0.57</v>
      </c>
      <c r="EHK19" s="175">
        <v>0.55</v>
      </c>
      <c r="EHL19" s="175">
        <v>0.53</v>
      </c>
      <c r="EHM19" s="157" t="s">
        <v>67</v>
      </c>
      <c r="EHN19" s="157"/>
      <c r="EHO19" s="157"/>
      <c r="EHP19" s="173">
        <v>0.62</v>
      </c>
      <c r="EHQ19" s="173">
        <v>0.61</v>
      </c>
      <c r="EHR19" s="173">
        <v>0.61</v>
      </c>
      <c r="EHS19" s="173">
        <v>0.61</v>
      </c>
      <c r="EHT19" s="173">
        <v>0.6</v>
      </c>
      <c r="EHU19" s="174">
        <v>0.6</v>
      </c>
      <c r="EHV19" s="173">
        <v>0.6</v>
      </c>
      <c r="EHW19" s="174">
        <v>0.59</v>
      </c>
      <c r="EHX19" s="175">
        <v>0.59</v>
      </c>
      <c r="EHY19" s="175">
        <v>0.58</v>
      </c>
      <c r="EHZ19" s="175">
        <v>0.57</v>
      </c>
      <c r="EIA19" s="175">
        <v>0.55</v>
      </c>
      <c r="EIB19" s="175">
        <v>0.53</v>
      </c>
      <c r="EIC19" s="157" t="s">
        <v>67</v>
      </c>
      <c r="EID19" s="157"/>
      <c r="EIE19" s="157"/>
      <c r="EIF19" s="173">
        <v>0.62</v>
      </c>
      <c r="EIG19" s="173">
        <v>0.61</v>
      </c>
      <c r="EIH19" s="173">
        <v>0.61</v>
      </c>
      <c r="EII19" s="173">
        <v>0.61</v>
      </c>
      <c r="EIJ19" s="173">
        <v>0.6</v>
      </c>
      <c r="EIK19" s="174">
        <v>0.6</v>
      </c>
      <c r="EIL19" s="173">
        <v>0.6</v>
      </c>
      <c r="EIM19" s="174">
        <v>0.59</v>
      </c>
      <c r="EIN19" s="175">
        <v>0.59</v>
      </c>
      <c r="EIO19" s="175">
        <v>0.58</v>
      </c>
      <c r="EIP19" s="175">
        <v>0.57</v>
      </c>
      <c r="EIQ19" s="175">
        <v>0.55</v>
      </c>
      <c r="EIR19" s="175">
        <v>0.53</v>
      </c>
      <c r="EIS19" s="157" t="s">
        <v>67</v>
      </c>
      <c r="EIT19" s="157"/>
      <c r="EIU19" s="157"/>
      <c r="EIV19" s="173">
        <v>0.62</v>
      </c>
      <c r="EIW19" s="173">
        <v>0.61</v>
      </c>
      <c r="EIX19" s="173">
        <v>0.61</v>
      </c>
      <c r="EIY19" s="173">
        <v>0.61</v>
      </c>
      <c r="EIZ19" s="173">
        <v>0.6</v>
      </c>
      <c r="EJA19" s="174">
        <v>0.6</v>
      </c>
      <c r="EJB19" s="173">
        <v>0.6</v>
      </c>
      <c r="EJC19" s="174">
        <v>0.59</v>
      </c>
      <c r="EJD19" s="175">
        <v>0.59</v>
      </c>
      <c r="EJE19" s="175">
        <v>0.58</v>
      </c>
      <c r="EJF19" s="175">
        <v>0.57</v>
      </c>
      <c r="EJG19" s="175">
        <v>0.55</v>
      </c>
      <c r="EJH19" s="175">
        <v>0.53</v>
      </c>
      <c r="EJI19" s="157" t="s">
        <v>67</v>
      </c>
      <c r="EJJ19" s="157"/>
      <c r="EJK19" s="157"/>
      <c r="EJL19" s="173">
        <v>0.62</v>
      </c>
      <c r="EJM19" s="173">
        <v>0.61</v>
      </c>
      <c r="EJN19" s="173">
        <v>0.61</v>
      </c>
      <c r="EJO19" s="173">
        <v>0.61</v>
      </c>
      <c r="EJP19" s="173">
        <v>0.6</v>
      </c>
      <c r="EJQ19" s="174">
        <v>0.6</v>
      </c>
      <c r="EJR19" s="173">
        <v>0.6</v>
      </c>
      <c r="EJS19" s="174">
        <v>0.59</v>
      </c>
      <c r="EJT19" s="175">
        <v>0.59</v>
      </c>
      <c r="EJU19" s="175">
        <v>0.58</v>
      </c>
      <c r="EJV19" s="175">
        <v>0.57</v>
      </c>
      <c r="EJW19" s="175">
        <v>0.55</v>
      </c>
      <c r="EJX19" s="175">
        <v>0.53</v>
      </c>
      <c r="EJY19" s="157" t="s">
        <v>67</v>
      </c>
      <c r="EJZ19" s="157"/>
      <c r="EKA19" s="157"/>
      <c r="EKB19" s="173">
        <v>0.62</v>
      </c>
      <c r="EKC19" s="173">
        <v>0.61</v>
      </c>
      <c r="EKD19" s="173">
        <v>0.61</v>
      </c>
      <c r="EKE19" s="173">
        <v>0.61</v>
      </c>
      <c r="EKF19" s="173">
        <v>0.6</v>
      </c>
      <c r="EKG19" s="174">
        <v>0.6</v>
      </c>
      <c r="EKH19" s="173">
        <v>0.6</v>
      </c>
      <c r="EKI19" s="174">
        <v>0.59</v>
      </c>
      <c r="EKJ19" s="175">
        <v>0.59</v>
      </c>
      <c r="EKK19" s="175">
        <v>0.58</v>
      </c>
      <c r="EKL19" s="175">
        <v>0.57</v>
      </c>
      <c r="EKM19" s="175">
        <v>0.55</v>
      </c>
      <c r="EKN19" s="175">
        <v>0.53</v>
      </c>
      <c r="EKO19" s="157" t="s">
        <v>67</v>
      </c>
      <c r="EKP19" s="157"/>
      <c r="EKQ19" s="157"/>
      <c r="EKR19" s="173">
        <v>0.62</v>
      </c>
      <c r="EKS19" s="173">
        <v>0.61</v>
      </c>
      <c r="EKT19" s="173">
        <v>0.61</v>
      </c>
      <c r="EKU19" s="173">
        <v>0.61</v>
      </c>
      <c r="EKV19" s="173">
        <v>0.6</v>
      </c>
      <c r="EKW19" s="174">
        <v>0.6</v>
      </c>
      <c r="EKX19" s="173">
        <v>0.6</v>
      </c>
      <c r="EKY19" s="174">
        <v>0.59</v>
      </c>
      <c r="EKZ19" s="175">
        <v>0.59</v>
      </c>
      <c r="ELA19" s="175">
        <v>0.58</v>
      </c>
      <c r="ELB19" s="175">
        <v>0.57</v>
      </c>
      <c r="ELC19" s="175">
        <v>0.55</v>
      </c>
      <c r="ELD19" s="175">
        <v>0.53</v>
      </c>
      <c r="ELE19" s="157" t="s">
        <v>67</v>
      </c>
      <c r="ELF19" s="157"/>
      <c r="ELG19" s="157"/>
      <c r="ELH19" s="173">
        <v>0.62</v>
      </c>
      <c r="ELI19" s="173">
        <v>0.61</v>
      </c>
      <c r="ELJ19" s="173">
        <v>0.61</v>
      </c>
      <c r="ELK19" s="173">
        <v>0.61</v>
      </c>
      <c r="ELL19" s="173">
        <v>0.6</v>
      </c>
      <c r="ELM19" s="174">
        <v>0.6</v>
      </c>
      <c r="ELN19" s="173">
        <v>0.6</v>
      </c>
      <c r="ELO19" s="174">
        <v>0.59</v>
      </c>
      <c r="ELP19" s="175">
        <v>0.59</v>
      </c>
      <c r="ELQ19" s="175">
        <v>0.58</v>
      </c>
      <c r="ELR19" s="175">
        <v>0.57</v>
      </c>
      <c r="ELS19" s="175">
        <v>0.55</v>
      </c>
      <c r="ELT19" s="175">
        <v>0.53</v>
      </c>
      <c r="ELU19" s="157" t="s">
        <v>67</v>
      </c>
      <c r="ELV19" s="157"/>
      <c r="ELW19" s="157"/>
      <c r="ELX19" s="173">
        <v>0.62</v>
      </c>
      <c r="ELY19" s="173">
        <v>0.61</v>
      </c>
      <c r="ELZ19" s="173">
        <v>0.61</v>
      </c>
      <c r="EMA19" s="173">
        <v>0.61</v>
      </c>
      <c r="EMB19" s="173">
        <v>0.6</v>
      </c>
      <c r="EMC19" s="174">
        <v>0.6</v>
      </c>
      <c r="EMD19" s="173">
        <v>0.6</v>
      </c>
      <c r="EME19" s="174">
        <v>0.59</v>
      </c>
      <c r="EMF19" s="175">
        <v>0.59</v>
      </c>
      <c r="EMG19" s="175">
        <v>0.58</v>
      </c>
      <c r="EMH19" s="175">
        <v>0.57</v>
      </c>
      <c r="EMI19" s="175">
        <v>0.55</v>
      </c>
      <c r="EMJ19" s="175">
        <v>0.53</v>
      </c>
      <c r="EMK19" s="157" t="s">
        <v>67</v>
      </c>
      <c r="EML19" s="157"/>
      <c r="EMM19" s="157"/>
      <c r="EMN19" s="173">
        <v>0.62</v>
      </c>
      <c r="EMO19" s="173">
        <v>0.61</v>
      </c>
      <c r="EMP19" s="173">
        <v>0.61</v>
      </c>
      <c r="EMQ19" s="173">
        <v>0.61</v>
      </c>
      <c r="EMR19" s="173">
        <v>0.6</v>
      </c>
      <c r="EMS19" s="174">
        <v>0.6</v>
      </c>
      <c r="EMT19" s="173">
        <v>0.6</v>
      </c>
      <c r="EMU19" s="174">
        <v>0.59</v>
      </c>
      <c r="EMV19" s="175">
        <v>0.59</v>
      </c>
      <c r="EMW19" s="175">
        <v>0.58</v>
      </c>
      <c r="EMX19" s="175">
        <v>0.57</v>
      </c>
      <c r="EMY19" s="175">
        <v>0.55</v>
      </c>
      <c r="EMZ19" s="175">
        <v>0.53</v>
      </c>
      <c r="ENA19" s="157" t="s">
        <v>67</v>
      </c>
      <c r="ENB19" s="157"/>
      <c r="ENC19" s="157"/>
      <c r="END19" s="173">
        <v>0.62</v>
      </c>
      <c r="ENE19" s="173">
        <v>0.61</v>
      </c>
      <c r="ENF19" s="173">
        <v>0.61</v>
      </c>
      <c r="ENG19" s="173">
        <v>0.61</v>
      </c>
      <c r="ENH19" s="173">
        <v>0.6</v>
      </c>
      <c r="ENI19" s="174">
        <v>0.6</v>
      </c>
      <c r="ENJ19" s="173">
        <v>0.6</v>
      </c>
      <c r="ENK19" s="174">
        <v>0.59</v>
      </c>
      <c r="ENL19" s="175">
        <v>0.59</v>
      </c>
      <c r="ENM19" s="175">
        <v>0.58</v>
      </c>
      <c r="ENN19" s="175">
        <v>0.57</v>
      </c>
      <c r="ENO19" s="175">
        <v>0.55</v>
      </c>
      <c r="ENP19" s="175">
        <v>0.53</v>
      </c>
      <c r="ENQ19" s="157" t="s">
        <v>67</v>
      </c>
      <c r="ENR19" s="157"/>
      <c r="ENS19" s="157"/>
      <c r="ENT19" s="173">
        <v>0.62</v>
      </c>
      <c r="ENU19" s="173">
        <v>0.61</v>
      </c>
      <c r="ENV19" s="173">
        <v>0.61</v>
      </c>
      <c r="ENW19" s="173">
        <v>0.61</v>
      </c>
      <c r="ENX19" s="173">
        <v>0.6</v>
      </c>
      <c r="ENY19" s="174">
        <v>0.6</v>
      </c>
      <c r="ENZ19" s="173">
        <v>0.6</v>
      </c>
      <c r="EOA19" s="174">
        <v>0.59</v>
      </c>
      <c r="EOB19" s="175">
        <v>0.59</v>
      </c>
      <c r="EOC19" s="175">
        <v>0.58</v>
      </c>
      <c r="EOD19" s="175">
        <v>0.57</v>
      </c>
      <c r="EOE19" s="175">
        <v>0.55</v>
      </c>
      <c r="EOF19" s="175">
        <v>0.53</v>
      </c>
      <c r="EOG19" s="157" t="s">
        <v>67</v>
      </c>
      <c r="EOH19" s="157"/>
      <c r="EOI19" s="157"/>
      <c r="EOJ19" s="173">
        <v>0.62</v>
      </c>
      <c r="EOK19" s="173">
        <v>0.61</v>
      </c>
      <c r="EOL19" s="173">
        <v>0.61</v>
      </c>
      <c r="EOM19" s="173">
        <v>0.61</v>
      </c>
      <c r="EON19" s="173">
        <v>0.6</v>
      </c>
      <c r="EOO19" s="174">
        <v>0.6</v>
      </c>
      <c r="EOP19" s="173">
        <v>0.6</v>
      </c>
      <c r="EOQ19" s="174">
        <v>0.59</v>
      </c>
      <c r="EOR19" s="175">
        <v>0.59</v>
      </c>
      <c r="EOS19" s="175">
        <v>0.58</v>
      </c>
      <c r="EOT19" s="175">
        <v>0.57</v>
      </c>
      <c r="EOU19" s="175">
        <v>0.55</v>
      </c>
      <c r="EOV19" s="175">
        <v>0.53</v>
      </c>
      <c r="EOW19" s="157" t="s">
        <v>67</v>
      </c>
      <c r="EOX19" s="157"/>
      <c r="EOY19" s="157"/>
      <c r="EOZ19" s="173">
        <v>0.62</v>
      </c>
      <c r="EPA19" s="173">
        <v>0.61</v>
      </c>
      <c r="EPB19" s="173">
        <v>0.61</v>
      </c>
      <c r="EPC19" s="173">
        <v>0.61</v>
      </c>
      <c r="EPD19" s="173">
        <v>0.6</v>
      </c>
      <c r="EPE19" s="174">
        <v>0.6</v>
      </c>
      <c r="EPF19" s="173">
        <v>0.6</v>
      </c>
      <c r="EPG19" s="174">
        <v>0.59</v>
      </c>
      <c r="EPH19" s="175">
        <v>0.59</v>
      </c>
      <c r="EPI19" s="175">
        <v>0.58</v>
      </c>
      <c r="EPJ19" s="175">
        <v>0.57</v>
      </c>
      <c r="EPK19" s="175">
        <v>0.55</v>
      </c>
      <c r="EPL19" s="175">
        <v>0.53</v>
      </c>
      <c r="EPM19" s="157" t="s">
        <v>67</v>
      </c>
      <c r="EPN19" s="157"/>
      <c r="EPO19" s="157"/>
      <c r="EPP19" s="173">
        <v>0.62</v>
      </c>
      <c r="EPQ19" s="173">
        <v>0.61</v>
      </c>
      <c r="EPR19" s="173">
        <v>0.61</v>
      </c>
      <c r="EPS19" s="173">
        <v>0.61</v>
      </c>
      <c r="EPT19" s="173">
        <v>0.6</v>
      </c>
      <c r="EPU19" s="174">
        <v>0.6</v>
      </c>
      <c r="EPV19" s="173">
        <v>0.6</v>
      </c>
      <c r="EPW19" s="174">
        <v>0.59</v>
      </c>
      <c r="EPX19" s="175">
        <v>0.59</v>
      </c>
      <c r="EPY19" s="175">
        <v>0.58</v>
      </c>
      <c r="EPZ19" s="175">
        <v>0.57</v>
      </c>
      <c r="EQA19" s="175">
        <v>0.55</v>
      </c>
      <c r="EQB19" s="175">
        <v>0.53</v>
      </c>
      <c r="EQC19" s="157" t="s">
        <v>67</v>
      </c>
      <c r="EQD19" s="157"/>
      <c r="EQE19" s="157"/>
      <c r="EQF19" s="173">
        <v>0.62</v>
      </c>
      <c r="EQG19" s="173">
        <v>0.61</v>
      </c>
      <c r="EQH19" s="173">
        <v>0.61</v>
      </c>
      <c r="EQI19" s="173">
        <v>0.61</v>
      </c>
      <c r="EQJ19" s="173">
        <v>0.6</v>
      </c>
      <c r="EQK19" s="174">
        <v>0.6</v>
      </c>
      <c r="EQL19" s="173">
        <v>0.6</v>
      </c>
      <c r="EQM19" s="174">
        <v>0.59</v>
      </c>
      <c r="EQN19" s="175">
        <v>0.59</v>
      </c>
      <c r="EQO19" s="175">
        <v>0.58</v>
      </c>
      <c r="EQP19" s="175">
        <v>0.57</v>
      </c>
      <c r="EQQ19" s="175">
        <v>0.55</v>
      </c>
      <c r="EQR19" s="175">
        <v>0.53</v>
      </c>
      <c r="EQS19" s="157" t="s">
        <v>67</v>
      </c>
      <c r="EQT19" s="157"/>
      <c r="EQU19" s="157"/>
      <c r="EQV19" s="173">
        <v>0.62</v>
      </c>
      <c r="EQW19" s="173">
        <v>0.61</v>
      </c>
      <c r="EQX19" s="173">
        <v>0.61</v>
      </c>
      <c r="EQY19" s="173">
        <v>0.61</v>
      </c>
      <c r="EQZ19" s="173">
        <v>0.6</v>
      </c>
      <c r="ERA19" s="174">
        <v>0.6</v>
      </c>
      <c r="ERB19" s="173">
        <v>0.6</v>
      </c>
      <c r="ERC19" s="174">
        <v>0.59</v>
      </c>
      <c r="ERD19" s="175">
        <v>0.59</v>
      </c>
      <c r="ERE19" s="175">
        <v>0.58</v>
      </c>
      <c r="ERF19" s="175">
        <v>0.57</v>
      </c>
      <c r="ERG19" s="175">
        <v>0.55</v>
      </c>
      <c r="ERH19" s="175">
        <v>0.53</v>
      </c>
      <c r="ERI19" s="157" t="s">
        <v>67</v>
      </c>
      <c r="ERJ19" s="157"/>
      <c r="ERK19" s="157"/>
      <c r="ERL19" s="173">
        <v>0.62</v>
      </c>
      <c r="ERM19" s="173">
        <v>0.61</v>
      </c>
      <c r="ERN19" s="173">
        <v>0.61</v>
      </c>
      <c r="ERO19" s="173">
        <v>0.61</v>
      </c>
      <c r="ERP19" s="173">
        <v>0.6</v>
      </c>
      <c r="ERQ19" s="174">
        <v>0.6</v>
      </c>
      <c r="ERR19" s="173">
        <v>0.6</v>
      </c>
      <c r="ERS19" s="174">
        <v>0.59</v>
      </c>
      <c r="ERT19" s="175">
        <v>0.59</v>
      </c>
      <c r="ERU19" s="175">
        <v>0.58</v>
      </c>
      <c r="ERV19" s="175">
        <v>0.57</v>
      </c>
      <c r="ERW19" s="175">
        <v>0.55</v>
      </c>
      <c r="ERX19" s="175">
        <v>0.53</v>
      </c>
      <c r="ERY19" s="157" t="s">
        <v>67</v>
      </c>
      <c r="ERZ19" s="157"/>
      <c r="ESA19" s="157"/>
      <c r="ESB19" s="173">
        <v>0.62</v>
      </c>
      <c r="ESC19" s="173">
        <v>0.61</v>
      </c>
      <c r="ESD19" s="173">
        <v>0.61</v>
      </c>
      <c r="ESE19" s="173">
        <v>0.61</v>
      </c>
      <c r="ESF19" s="173">
        <v>0.6</v>
      </c>
      <c r="ESG19" s="174">
        <v>0.6</v>
      </c>
      <c r="ESH19" s="173">
        <v>0.6</v>
      </c>
      <c r="ESI19" s="174">
        <v>0.59</v>
      </c>
      <c r="ESJ19" s="175">
        <v>0.59</v>
      </c>
      <c r="ESK19" s="175">
        <v>0.58</v>
      </c>
      <c r="ESL19" s="175">
        <v>0.57</v>
      </c>
      <c r="ESM19" s="175">
        <v>0.55</v>
      </c>
      <c r="ESN19" s="175">
        <v>0.53</v>
      </c>
      <c r="ESO19" s="157" t="s">
        <v>67</v>
      </c>
      <c r="ESP19" s="157"/>
      <c r="ESQ19" s="157"/>
      <c r="ESR19" s="173">
        <v>0.62</v>
      </c>
      <c r="ESS19" s="173">
        <v>0.61</v>
      </c>
      <c r="EST19" s="173">
        <v>0.61</v>
      </c>
      <c r="ESU19" s="173">
        <v>0.61</v>
      </c>
      <c r="ESV19" s="173">
        <v>0.6</v>
      </c>
      <c r="ESW19" s="174">
        <v>0.6</v>
      </c>
      <c r="ESX19" s="173">
        <v>0.6</v>
      </c>
      <c r="ESY19" s="174">
        <v>0.59</v>
      </c>
      <c r="ESZ19" s="175">
        <v>0.59</v>
      </c>
      <c r="ETA19" s="175">
        <v>0.58</v>
      </c>
      <c r="ETB19" s="175">
        <v>0.57</v>
      </c>
      <c r="ETC19" s="175">
        <v>0.55</v>
      </c>
      <c r="ETD19" s="175">
        <v>0.53</v>
      </c>
      <c r="ETE19" s="157" t="s">
        <v>67</v>
      </c>
      <c r="ETF19" s="157"/>
      <c r="ETG19" s="157"/>
      <c r="ETH19" s="173">
        <v>0.62</v>
      </c>
      <c r="ETI19" s="173">
        <v>0.61</v>
      </c>
      <c r="ETJ19" s="173">
        <v>0.61</v>
      </c>
      <c r="ETK19" s="173">
        <v>0.61</v>
      </c>
      <c r="ETL19" s="173">
        <v>0.6</v>
      </c>
      <c r="ETM19" s="174">
        <v>0.6</v>
      </c>
      <c r="ETN19" s="173">
        <v>0.6</v>
      </c>
      <c r="ETO19" s="174">
        <v>0.59</v>
      </c>
      <c r="ETP19" s="175">
        <v>0.59</v>
      </c>
      <c r="ETQ19" s="175">
        <v>0.58</v>
      </c>
      <c r="ETR19" s="175">
        <v>0.57</v>
      </c>
      <c r="ETS19" s="175">
        <v>0.55</v>
      </c>
      <c r="ETT19" s="175">
        <v>0.53</v>
      </c>
      <c r="ETU19" s="157" t="s">
        <v>67</v>
      </c>
      <c r="ETV19" s="157"/>
      <c r="ETW19" s="157"/>
      <c r="ETX19" s="173">
        <v>0.62</v>
      </c>
      <c r="ETY19" s="173">
        <v>0.61</v>
      </c>
      <c r="ETZ19" s="173">
        <v>0.61</v>
      </c>
      <c r="EUA19" s="173">
        <v>0.61</v>
      </c>
      <c r="EUB19" s="173">
        <v>0.6</v>
      </c>
      <c r="EUC19" s="174">
        <v>0.6</v>
      </c>
      <c r="EUD19" s="173">
        <v>0.6</v>
      </c>
      <c r="EUE19" s="174">
        <v>0.59</v>
      </c>
      <c r="EUF19" s="175">
        <v>0.59</v>
      </c>
      <c r="EUG19" s="175">
        <v>0.58</v>
      </c>
      <c r="EUH19" s="175">
        <v>0.57</v>
      </c>
      <c r="EUI19" s="175">
        <v>0.55</v>
      </c>
      <c r="EUJ19" s="175">
        <v>0.53</v>
      </c>
      <c r="EUK19" s="157" t="s">
        <v>67</v>
      </c>
      <c r="EUL19" s="157"/>
      <c r="EUM19" s="157"/>
      <c r="EUN19" s="173">
        <v>0.62</v>
      </c>
      <c r="EUO19" s="173">
        <v>0.61</v>
      </c>
      <c r="EUP19" s="173">
        <v>0.61</v>
      </c>
      <c r="EUQ19" s="173">
        <v>0.61</v>
      </c>
      <c r="EUR19" s="173">
        <v>0.6</v>
      </c>
      <c r="EUS19" s="174">
        <v>0.6</v>
      </c>
      <c r="EUT19" s="173">
        <v>0.6</v>
      </c>
      <c r="EUU19" s="174">
        <v>0.59</v>
      </c>
      <c r="EUV19" s="175">
        <v>0.59</v>
      </c>
      <c r="EUW19" s="175">
        <v>0.58</v>
      </c>
      <c r="EUX19" s="175">
        <v>0.57</v>
      </c>
      <c r="EUY19" s="175">
        <v>0.55</v>
      </c>
      <c r="EUZ19" s="175">
        <v>0.53</v>
      </c>
      <c r="EVA19" s="157" t="s">
        <v>67</v>
      </c>
      <c r="EVB19" s="157"/>
      <c r="EVC19" s="157"/>
      <c r="EVD19" s="173">
        <v>0.62</v>
      </c>
      <c r="EVE19" s="173">
        <v>0.61</v>
      </c>
      <c r="EVF19" s="173">
        <v>0.61</v>
      </c>
      <c r="EVG19" s="173">
        <v>0.61</v>
      </c>
      <c r="EVH19" s="173">
        <v>0.6</v>
      </c>
      <c r="EVI19" s="174">
        <v>0.6</v>
      </c>
      <c r="EVJ19" s="173">
        <v>0.6</v>
      </c>
      <c r="EVK19" s="174">
        <v>0.59</v>
      </c>
      <c r="EVL19" s="175">
        <v>0.59</v>
      </c>
      <c r="EVM19" s="175">
        <v>0.58</v>
      </c>
      <c r="EVN19" s="175">
        <v>0.57</v>
      </c>
      <c r="EVO19" s="175">
        <v>0.55</v>
      </c>
      <c r="EVP19" s="175">
        <v>0.53</v>
      </c>
      <c r="EVQ19" s="157" t="s">
        <v>67</v>
      </c>
      <c r="EVR19" s="157"/>
      <c r="EVS19" s="157"/>
      <c r="EVT19" s="173">
        <v>0.62</v>
      </c>
      <c r="EVU19" s="173">
        <v>0.61</v>
      </c>
      <c r="EVV19" s="173">
        <v>0.61</v>
      </c>
      <c r="EVW19" s="173">
        <v>0.61</v>
      </c>
      <c r="EVX19" s="173">
        <v>0.6</v>
      </c>
      <c r="EVY19" s="174">
        <v>0.6</v>
      </c>
      <c r="EVZ19" s="173">
        <v>0.6</v>
      </c>
      <c r="EWA19" s="174">
        <v>0.59</v>
      </c>
      <c r="EWB19" s="175">
        <v>0.59</v>
      </c>
      <c r="EWC19" s="175">
        <v>0.58</v>
      </c>
      <c r="EWD19" s="175">
        <v>0.57</v>
      </c>
      <c r="EWE19" s="175">
        <v>0.55</v>
      </c>
      <c r="EWF19" s="175">
        <v>0.53</v>
      </c>
      <c r="EWG19" s="157" t="s">
        <v>67</v>
      </c>
      <c r="EWH19" s="157"/>
      <c r="EWI19" s="157"/>
      <c r="EWJ19" s="173">
        <v>0.62</v>
      </c>
      <c r="EWK19" s="173">
        <v>0.61</v>
      </c>
      <c r="EWL19" s="173">
        <v>0.61</v>
      </c>
      <c r="EWM19" s="173">
        <v>0.61</v>
      </c>
      <c r="EWN19" s="173">
        <v>0.6</v>
      </c>
      <c r="EWO19" s="174">
        <v>0.6</v>
      </c>
      <c r="EWP19" s="173">
        <v>0.6</v>
      </c>
      <c r="EWQ19" s="174">
        <v>0.59</v>
      </c>
      <c r="EWR19" s="175">
        <v>0.59</v>
      </c>
      <c r="EWS19" s="175">
        <v>0.58</v>
      </c>
      <c r="EWT19" s="175">
        <v>0.57</v>
      </c>
      <c r="EWU19" s="175">
        <v>0.55</v>
      </c>
      <c r="EWV19" s="175">
        <v>0.53</v>
      </c>
      <c r="EWW19" s="157" t="s">
        <v>67</v>
      </c>
      <c r="EWX19" s="157"/>
      <c r="EWY19" s="157"/>
      <c r="EWZ19" s="173">
        <v>0.62</v>
      </c>
      <c r="EXA19" s="173">
        <v>0.61</v>
      </c>
      <c r="EXB19" s="173">
        <v>0.61</v>
      </c>
      <c r="EXC19" s="173">
        <v>0.61</v>
      </c>
      <c r="EXD19" s="173">
        <v>0.6</v>
      </c>
      <c r="EXE19" s="174">
        <v>0.6</v>
      </c>
      <c r="EXF19" s="173">
        <v>0.6</v>
      </c>
      <c r="EXG19" s="174">
        <v>0.59</v>
      </c>
      <c r="EXH19" s="175">
        <v>0.59</v>
      </c>
      <c r="EXI19" s="175">
        <v>0.58</v>
      </c>
      <c r="EXJ19" s="175">
        <v>0.57</v>
      </c>
      <c r="EXK19" s="175">
        <v>0.55</v>
      </c>
      <c r="EXL19" s="175">
        <v>0.53</v>
      </c>
      <c r="EXM19" s="157" t="s">
        <v>67</v>
      </c>
      <c r="EXN19" s="157"/>
      <c r="EXO19" s="157"/>
      <c r="EXP19" s="173">
        <v>0.62</v>
      </c>
      <c r="EXQ19" s="173">
        <v>0.61</v>
      </c>
      <c r="EXR19" s="173">
        <v>0.61</v>
      </c>
      <c r="EXS19" s="173">
        <v>0.61</v>
      </c>
      <c r="EXT19" s="173">
        <v>0.6</v>
      </c>
      <c r="EXU19" s="174">
        <v>0.6</v>
      </c>
      <c r="EXV19" s="173">
        <v>0.6</v>
      </c>
      <c r="EXW19" s="174">
        <v>0.59</v>
      </c>
      <c r="EXX19" s="175">
        <v>0.59</v>
      </c>
      <c r="EXY19" s="175">
        <v>0.58</v>
      </c>
      <c r="EXZ19" s="175">
        <v>0.57</v>
      </c>
      <c r="EYA19" s="175">
        <v>0.55</v>
      </c>
      <c r="EYB19" s="175">
        <v>0.53</v>
      </c>
      <c r="EYC19" s="157" t="s">
        <v>67</v>
      </c>
      <c r="EYD19" s="157"/>
      <c r="EYE19" s="157"/>
      <c r="EYF19" s="173">
        <v>0.62</v>
      </c>
      <c r="EYG19" s="173">
        <v>0.61</v>
      </c>
      <c r="EYH19" s="173">
        <v>0.61</v>
      </c>
      <c r="EYI19" s="173">
        <v>0.61</v>
      </c>
      <c r="EYJ19" s="173">
        <v>0.6</v>
      </c>
      <c r="EYK19" s="174">
        <v>0.6</v>
      </c>
      <c r="EYL19" s="173">
        <v>0.6</v>
      </c>
      <c r="EYM19" s="174">
        <v>0.59</v>
      </c>
      <c r="EYN19" s="175">
        <v>0.59</v>
      </c>
      <c r="EYO19" s="175">
        <v>0.58</v>
      </c>
      <c r="EYP19" s="175">
        <v>0.57</v>
      </c>
      <c r="EYQ19" s="175">
        <v>0.55</v>
      </c>
      <c r="EYR19" s="175">
        <v>0.53</v>
      </c>
      <c r="EYS19" s="157" t="s">
        <v>67</v>
      </c>
      <c r="EYT19" s="157"/>
      <c r="EYU19" s="157"/>
      <c r="EYV19" s="173">
        <v>0.62</v>
      </c>
      <c r="EYW19" s="173">
        <v>0.61</v>
      </c>
      <c r="EYX19" s="173">
        <v>0.61</v>
      </c>
      <c r="EYY19" s="173">
        <v>0.61</v>
      </c>
      <c r="EYZ19" s="173">
        <v>0.6</v>
      </c>
      <c r="EZA19" s="174">
        <v>0.6</v>
      </c>
      <c r="EZB19" s="173">
        <v>0.6</v>
      </c>
      <c r="EZC19" s="174">
        <v>0.59</v>
      </c>
      <c r="EZD19" s="175">
        <v>0.59</v>
      </c>
      <c r="EZE19" s="175">
        <v>0.58</v>
      </c>
      <c r="EZF19" s="175">
        <v>0.57</v>
      </c>
      <c r="EZG19" s="175">
        <v>0.55</v>
      </c>
      <c r="EZH19" s="175">
        <v>0.53</v>
      </c>
      <c r="EZI19" s="157" t="s">
        <v>67</v>
      </c>
      <c r="EZJ19" s="157"/>
      <c r="EZK19" s="157"/>
      <c r="EZL19" s="173">
        <v>0.62</v>
      </c>
      <c r="EZM19" s="173">
        <v>0.61</v>
      </c>
      <c r="EZN19" s="173">
        <v>0.61</v>
      </c>
      <c r="EZO19" s="173">
        <v>0.61</v>
      </c>
      <c r="EZP19" s="173">
        <v>0.6</v>
      </c>
      <c r="EZQ19" s="174">
        <v>0.6</v>
      </c>
      <c r="EZR19" s="173">
        <v>0.6</v>
      </c>
      <c r="EZS19" s="174">
        <v>0.59</v>
      </c>
      <c r="EZT19" s="175">
        <v>0.59</v>
      </c>
      <c r="EZU19" s="175">
        <v>0.58</v>
      </c>
      <c r="EZV19" s="175">
        <v>0.57</v>
      </c>
      <c r="EZW19" s="175">
        <v>0.55</v>
      </c>
      <c r="EZX19" s="175">
        <v>0.53</v>
      </c>
      <c r="EZY19" s="157" t="s">
        <v>67</v>
      </c>
      <c r="EZZ19" s="157"/>
      <c r="FAA19" s="157"/>
      <c r="FAB19" s="173">
        <v>0.62</v>
      </c>
      <c r="FAC19" s="173">
        <v>0.61</v>
      </c>
      <c r="FAD19" s="173">
        <v>0.61</v>
      </c>
      <c r="FAE19" s="173">
        <v>0.61</v>
      </c>
      <c r="FAF19" s="173">
        <v>0.6</v>
      </c>
      <c r="FAG19" s="174">
        <v>0.6</v>
      </c>
      <c r="FAH19" s="173">
        <v>0.6</v>
      </c>
      <c r="FAI19" s="174">
        <v>0.59</v>
      </c>
      <c r="FAJ19" s="175">
        <v>0.59</v>
      </c>
      <c r="FAK19" s="175">
        <v>0.58</v>
      </c>
      <c r="FAL19" s="175">
        <v>0.57</v>
      </c>
      <c r="FAM19" s="175">
        <v>0.55</v>
      </c>
      <c r="FAN19" s="175">
        <v>0.53</v>
      </c>
      <c r="FAO19" s="157" t="s">
        <v>67</v>
      </c>
      <c r="FAP19" s="157"/>
      <c r="FAQ19" s="157"/>
      <c r="FAR19" s="173">
        <v>0.62</v>
      </c>
      <c r="FAS19" s="173">
        <v>0.61</v>
      </c>
      <c r="FAT19" s="173">
        <v>0.61</v>
      </c>
      <c r="FAU19" s="173">
        <v>0.61</v>
      </c>
      <c r="FAV19" s="173">
        <v>0.6</v>
      </c>
      <c r="FAW19" s="174">
        <v>0.6</v>
      </c>
      <c r="FAX19" s="173">
        <v>0.6</v>
      </c>
      <c r="FAY19" s="174">
        <v>0.59</v>
      </c>
      <c r="FAZ19" s="175">
        <v>0.59</v>
      </c>
      <c r="FBA19" s="175">
        <v>0.58</v>
      </c>
      <c r="FBB19" s="175">
        <v>0.57</v>
      </c>
      <c r="FBC19" s="175">
        <v>0.55</v>
      </c>
      <c r="FBD19" s="175">
        <v>0.53</v>
      </c>
      <c r="FBE19" s="157" t="s">
        <v>67</v>
      </c>
      <c r="FBF19" s="157"/>
      <c r="FBG19" s="157"/>
      <c r="FBH19" s="173">
        <v>0.62</v>
      </c>
      <c r="FBI19" s="173">
        <v>0.61</v>
      </c>
      <c r="FBJ19" s="173">
        <v>0.61</v>
      </c>
      <c r="FBK19" s="173">
        <v>0.61</v>
      </c>
      <c r="FBL19" s="173">
        <v>0.6</v>
      </c>
      <c r="FBM19" s="174">
        <v>0.6</v>
      </c>
      <c r="FBN19" s="173">
        <v>0.6</v>
      </c>
      <c r="FBO19" s="174">
        <v>0.59</v>
      </c>
      <c r="FBP19" s="175">
        <v>0.59</v>
      </c>
      <c r="FBQ19" s="175">
        <v>0.58</v>
      </c>
      <c r="FBR19" s="175">
        <v>0.57</v>
      </c>
      <c r="FBS19" s="175">
        <v>0.55</v>
      </c>
      <c r="FBT19" s="175">
        <v>0.53</v>
      </c>
      <c r="FBU19" s="157" t="s">
        <v>67</v>
      </c>
      <c r="FBV19" s="157"/>
      <c r="FBW19" s="157"/>
      <c r="FBX19" s="173">
        <v>0.62</v>
      </c>
      <c r="FBY19" s="173">
        <v>0.61</v>
      </c>
      <c r="FBZ19" s="173">
        <v>0.61</v>
      </c>
      <c r="FCA19" s="173">
        <v>0.61</v>
      </c>
      <c r="FCB19" s="173">
        <v>0.6</v>
      </c>
      <c r="FCC19" s="174">
        <v>0.6</v>
      </c>
      <c r="FCD19" s="173">
        <v>0.6</v>
      </c>
      <c r="FCE19" s="174">
        <v>0.59</v>
      </c>
      <c r="FCF19" s="175">
        <v>0.59</v>
      </c>
      <c r="FCG19" s="175">
        <v>0.58</v>
      </c>
      <c r="FCH19" s="175">
        <v>0.57</v>
      </c>
      <c r="FCI19" s="175">
        <v>0.55</v>
      </c>
      <c r="FCJ19" s="175">
        <v>0.53</v>
      </c>
      <c r="FCK19" s="157" t="s">
        <v>67</v>
      </c>
      <c r="FCL19" s="157"/>
      <c r="FCM19" s="157"/>
      <c r="FCN19" s="173">
        <v>0.62</v>
      </c>
      <c r="FCO19" s="173">
        <v>0.61</v>
      </c>
      <c r="FCP19" s="173">
        <v>0.61</v>
      </c>
      <c r="FCQ19" s="173">
        <v>0.61</v>
      </c>
      <c r="FCR19" s="173">
        <v>0.6</v>
      </c>
      <c r="FCS19" s="174">
        <v>0.6</v>
      </c>
      <c r="FCT19" s="173">
        <v>0.6</v>
      </c>
      <c r="FCU19" s="174">
        <v>0.59</v>
      </c>
      <c r="FCV19" s="175">
        <v>0.59</v>
      </c>
      <c r="FCW19" s="175">
        <v>0.58</v>
      </c>
      <c r="FCX19" s="175">
        <v>0.57</v>
      </c>
      <c r="FCY19" s="175">
        <v>0.55</v>
      </c>
      <c r="FCZ19" s="175">
        <v>0.53</v>
      </c>
      <c r="FDA19" s="157" t="s">
        <v>67</v>
      </c>
      <c r="FDB19" s="157"/>
      <c r="FDC19" s="157"/>
      <c r="FDD19" s="173">
        <v>0.62</v>
      </c>
      <c r="FDE19" s="173">
        <v>0.61</v>
      </c>
      <c r="FDF19" s="173">
        <v>0.61</v>
      </c>
      <c r="FDG19" s="173">
        <v>0.61</v>
      </c>
      <c r="FDH19" s="173">
        <v>0.6</v>
      </c>
      <c r="FDI19" s="174">
        <v>0.6</v>
      </c>
      <c r="FDJ19" s="173">
        <v>0.6</v>
      </c>
      <c r="FDK19" s="174">
        <v>0.59</v>
      </c>
      <c r="FDL19" s="175">
        <v>0.59</v>
      </c>
      <c r="FDM19" s="175">
        <v>0.58</v>
      </c>
      <c r="FDN19" s="175">
        <v>0.57</v>
      </c>
      <c r="FDO19" s="175">
        <v>0.55</v>
      </c>
      <c r="FDP19" s="175">
        <v>0.53</v>
      </c>
      <c r="FDQ19" s="157" t="s">
        <v>67</v>
      </c>
      <c r="FDR19" s="157"/>
      <c r="FDS19" s="157"/>
      <c r="FDT19" s="173">
        <v>0.62</v>
      </c>
      <c r="FDU19" s="173">
        <v>0.61</v>
      </c>
      <c r="FDV19" s="173">
        <v>0.61</v>
      </c>
      <c r="FDW19" s="173">
        <v>0.61</v>
      </c>
      <c r="FDX19" s="173">
        <v>0.6</v>
      </c>
      <c r="FDY19" s="174">
        <v>0.6</v>
      </c>
      <c r="FDZ19" s="173">
        <v>0.6</v>
      </c>
      <c r="FEA19" s="174">
        <v>0.59</v>
      </c>
      <c r="FEB19" s="175">
        <v>0.59</v>
      </c>
      <c r="FEC19" s="175">
        <v>0.58</v>
      </c>
      <c r="FED19" s="175">
        <v>0.57</v>
      </c>
      <c r="FEE19" s="175">
        <v>0.55</v>
      </c>
      <c r="FEF19" s="175">
        <v>0.53</v>
      </c>
      <c r="FEG19" s="157" t="s">
        <v>67</v>
      </c>
      <c r="FEH19" s="157"/>
      <c r="FEI19" s="157"/>
      <c r="FEJ19" s="173">
        <v>0.62</v>
      </c>
      <c r="FEK19" s="173">
        <v>0.61</v>
      </c>
      <c r="FEL19" s="173">
        <v>0.61</v>
      </c>
      <c r="FEM19" s="173">
        <v>0.61</v>
      </c>
      <c r="FEN19" s="173">
        <v>0.6</v>
      </c>
      <c r="FEO19" s="174">
        <v>0.6</v>
      </c>
      <c r="FEP19" s="173">
        <v>0.6</v>
      </c>
      <c r="FEQ19" s="174">
        <v>0.59</v>
      </c>
      <c r="FER19" s="175">
        <v>0.59</v>
      </c>
      <c r="FES19" s="175">
        <v>0.58</v>
      </c>
      <c r="FET19" s="175">
        <v>0.57</v>
      </c>
      <c r="FEU19" s="175">
        <v>0.55</v>
      </c>
      <c r="FEV19" s="175">
        <v>0.53</v>
      </c>
      <c r="FEW19" s="157" t="s">
        <v>67</v>
      </c>
      <c r="FEX19" s="157"/>
      <c r="FEY19" s="157"/>
      <c r="FEZ19" s="173">
        <v>0.62</v>
      </c>
      <c r="FFA19" s="173">
        <v>0.61</v>
      </c>
      <c r="FFB19" s="173">
        <v>0.61</v>
      </c>
      <c r="FFC19" s="173">
        <v>0.61</v>
      </c>
      <c r="FFD19" s="173">
        <v>0.6</v>
      </c>
      <c r="FFE19" s="174">
        <v>0.6</v>
      </c>
      <c r="FFF19" s="173">
        <v>0.6</v>
      </c>
      <c r="FFG19" s="174">
        <v>0.59</v>
      </c>
      <c r="FFH19" s="175">
        <v>0.59</v>
      </c>
      <c r="FFI19" s="175">
        <v>0.58</v>
      </c>
      <c r="FFJ19" s="175">
        <v>0.57</v>
      </c>
      <c r="FFK19" s="175">
        <v>0.55</v>
      </c>
      <c r="FFL19" s="175">
        <v>0.53</v>
      </c>
      <c r="FFM19" s="157" t="s">
        <v>67</v>
      </c>
      <c r="FFN19" s="157"/>
      <c r="FFO19" s="157"/>
      <c r="FFP19" s="173">
        <v>0.62</v>
      </c>
      <c r="FFQ19" s="173">
        <v>0.61</v>
      </c>
      <c r="FFR19" s="173">
        <v>0.61</v>
      </c>
      <c r="FFS19" s="173">
        <v>0.61</v>
      </c>
      <c r="FFT19" s="173">
        <v>0.6</v>
      </c>
      <c r="FFU19" s="174">
        <v>0.6</v>
      </c>
      <c r="FFV19" s="173">
        <v>0.6</v>
      </c>
      <c r="FFW19" s="174">
        <v>0.59</v>
      </c>
      <c r="FFX19" s="175">
        <v>0.59</v>
      </c>
      <c r="FFY19" s="175">
        <v>0.58</v>
      </c>
      <c r="FFZ19" s="175">
        <v>0.57</v>
      </c>
      <c r="FGA19" s="175">
        <v>0.55</v>
      </c>
      <c r="FGB19" s="175">
        <v>0.53</v>
      </c>
      <c r="FGC19" s="157" t="s">
        <v>67</v>
      </c>
      <c r="FGD19" s="157"/>
      <c r="FGE19" s="157"/>
      <c r="FGF19" s="173">
        <v>0.62</v>
      </c>
      <c r="FGG19" s="173">
        <v>0.61</v>
      </c>
      <c r="FGH19" s="173">
        <v>0.61</v>
      </c>
      <c r="FGI19" s="173">
        <v>0.61</v>
      </c>
      <c r="FGJ19" s="173">
        <v>0.6</v>
      </c>
      <c r="FGK19" s="174">
        <v>0.6</v>
      </c>
      <c r="FGL19" s="173">
        <v>0.6</v>
      </c>
      <c r="FGM19" s="174">
        <v>0.59</v>
      </c>
      <c r="FGN19" s="175">
        <v>0.59</v>
      </c>
      <c r="FGO19" s="175">
        <v>0.58</v>
      </c>
      <c r="FGP19" s="175">
        <v>0.57</v>
      </c>
      <c r="FGQ19" s="175">
        <v>0.55</v>
      </c>
      <c r="FGR19" s="175">
        <v>0.53</v>
      </c>
      <c r="FGS19" s="157" t="s">
        <v>67</v>
      </c>
      <c r="FGT19" s="157"/>
      <c r="FGU19" s="157"/>
      <c r="FGV19" s="173">
        <v>0.62</v>
      </c>
      <c r="FGW19" s="173">
        <v>0.61</v>
      </c>
      <c r="FGX19" s="173">
        <v>0.61</v>
      </c>
      <c r="FGY19" s="173">
        <v>0.61</v>
      </c>
      <c r="FGZ19" s="173">
        <v>0.6</v>
      </c>
      <c r="FHA19" s="174">
        <v>0.6</v>
      </c>
      <c r="FHB19" s="173">
        <v>0.6</v>
      </c>
      <c r="FHC19" s="174">
        <v>0.59</v>
      </c>
      <c r="FHD19" s="175">
        <v>0.59</v>
      </c>
      <c r="FHE19" s="175">
        <v>0.58</v>
      </c>
      <c r="FHF19" s="175">
        <v>0.57</v>
      </c>
      <c r="FHG19" s="175">
        <v>0.55</v>
      </c>
      <c r="FHH19" s="175">
        <v>0.53</v>
      </c>
      <c r="FHI19" s="157" t="s">
        <v>67</v>
      </c>
      <c r="FHJ19" s="157"/>
      <c r="FHK19" s="157"/>
      <c r="FHL19" s="173">
        <v>0.62</v>
      </c>
      <c r="FHM19" s="173">
        <v>0.61</v>
      </c>
      <c r="FHN19" s="173">
        <v>0.61</v>
      </c>
      <c r="FHO19" s="173">
        <v>0.61</v>
      </c>
      <c r="FHP19" s="173">
        <v>0.6</v>
      </c>
      <c r="FHQ19" s="174">
        <v>0.6</v>
      </c>
      <c r="FHR19" s="173">
        <v>0.6</v>
      </c>
      <c r="FHS19" s="174">
        <v>0.59</v>
      </c>
      <c r="FHT19" s="175">
        <v>0.59</v>
      </c>
      <c r="FHU19" s="175">
        <v>0.58</v>
      </c>
      <c r="FHV19" s="175">
        <v>0.57</v>
      </c>
      <c r="FHW19" s="175">
        <v>0.55</v>
      </c>
      <c r="FHX19" s="175">
        <v>0.53</v>
      </c>
      <c r="FHY19" s="157" t="s">
        <v>67</v>
      </c>
      <c r="FHZ19" s="157"/>
      <c r="FIA19" s="157"/>
      <c r="FIB19" s="173">
        <v>0.62</v>
      </c>
      <c r="FIC19" s="173">
        <v>0.61</v>
      </c>
      <c r="FID19" s="173">
        <v>0.61</v>
      </c>
      <c r="FIE19" s="173">
        <v>0.61</v>
      </c>
      <c r="FIF19" s="173">
        <v>0.6</v>
      </c>
      <c r="FIG19" s="174">
        <v>0.6</v>
      </c>
      <c r="FIH19" s="173">
        <v>0.6</v>
      </c>
      <c r="FII19" s="174">
        <v>0.59</v>
      </c>
      <c r="FIJ19" s="175">
        <v>0.59</v>
      </c>
      <c r="FIK19" s="175">
        <v>0.58</v>
      </c>
      <c r="FIL19" s="175">
        <v>0.57</v>
      </c>
      <c r="FIM19" s="175">
        <v>0.55</v>
      </c>
      <c r="FIN19" s="175">
        <v>0.53</v>
      </c>
      <c r="FIO19" s="157" t="s">
        <v>67</v>
      </c>
      <c r="FIP19" s="157"/>
      <c r="FIQ19" s="157"/>
      <c r="FIR19" s="173">
        <v>0.62</v>
      </c>
      <c r="FIS19" s="173">
        <v>0.61</v>
      </c>
      <c r="FIT19" s="173">
        <v>0.61</v>
      </c>
      <c r="FIU19" s="173">
        <v>0.61</v>
      </c>
      <c r="FIV19" s="173">
        <v>0.6</v>
      </c>
      <c r="FIW19" s="174">
        <v>0.6</v>
      </c>
      <c r="FIX19" s="173">
        <v>0.6</v>
      </c>
      <c r="FIY19" s="174">
        <v>0.59</v>
      </c>
      <c r="FIZ19" s="175">
        <v>0.59</v>
      </c>
      <c r="FJA19" s="175">
        <v>0.58</v>
      </c>
      <c r="FJB19" s="175">
        <v>0.57</v>
      </c>
      <c r="FJC19" s="175">
        <v>0.55</v>
      </c>
      <c r="FJD19" s="175">
        <v>0.53</v>
      </c>
      <c r="FJE19" s="157" t="s">
        <v>67</v>
      </c>
      <c r="FJF19" s="157"/>
      <c r="FJG19" s="157"/>
      <c r="FJH19" s="173">
        <v>0.62</v>
      </c>
      <c r="FJI19" s="173">
        <v>0.61</v>
      </c>
      <c r="FJJ19" s="173">
        <v>0.61</v>
      </c>
      <c r="FJK19" s="173">
        <v>0.61</v>
      </c>
      <c r="FJL19" s="173">
        <v>0.6</v>
      </c>
      <c r="FJM19" s="174">
        <v>0.6</v>
      </c>
      <c r="FJN19" s="173">
        <v>0.6</v>
      </c>
      <c r="FJO19" s="174">
        <v>0.59</v>
      </c>
      <c r="FJP19" s="175">
        <v>0.59</v>
      </c>
      <c r="FJQ19" s="175">
        <v>0.58</v>
      </c>
      <c r="FJR19" s="175">
        <v>0.57</v>
      </c>
      <c r="FJS19" s="175">
        <v>0.55</v>
      </c>
      <c r="FJT19" s="175">
        <v>0.53</v>
      </c>
      <c r="FJU19" s="157" t="s">
        <v>67</v>
      </c>
      <c r="FJV19" s="157"/>
      <c r="FJW19" s="157"/>
      <c r="FJX19" s="173">
        <v>0.62</v>
      </c>
      <c r="FJY19" s="173">
        <v>0.61</v>
      </c>
      <c r="FJZ19" s="173">
        <v>0.61</v>
      </c>
      <c r="FKA19" s="173">
        <v>0.61</v>
      </c>
      <c r="FKB19" s="173">
        <v>0.6</v>
      </c>
      <c r="FKC19" s="174">
        <v>0.6</v>
      </c>
      <c r="FKD19" s="173">
        <v>0.6</v>
      </c>
      <c r="FKE19" s="174">
        <v>0.59</v>
      </c>
      <c r="FKF19" s="175">
        <v>0.59</v>
      </c>
      <c r="FKG19" s="175">
        <v>0.58</v>
      </c>
      <c r="FKH19" s="175">
        <v>0.57</v>
      </c>
      <c r="FKI19" s="175">
        <v>0.55</v>
      </c>
      <c r="FKJ19" s="175">
        <v>0.53</v>
      </c>
      <c r="FKK19" s="157" t="s">
        <v>67</v>
      </c>
      <c r="FKL19" s="157"/>
      <c r="FKM19" s="157"/>
      <c r="FKN19" s="173">
        <v>0.62</v>
      </c>
      <c r="FKO19" s="173">
        <v>0.61</v>
      </c>
      <c r="FKP19" s="173">
        <v>0.61</v>
      </c>
      <c r="FKQ19" s="173">
        <v>0.61</v>
      </c>
      <c r="FKR19" s="173">
        <v>0.6</v>
      </c>
      <c r="FKS19" s="174">
        <v>0.6</v>
      </c>
      <c r="FKT19" s="173">
        <v>0.6</v>
      </c>
      <c r="FKU19" s="174">
        <v>0.59</v>
      </c>
      <c r="FKV19" s="175">
        <v>0.59</v>
      </c>
      <c r="FKW19" s="175">
        <v>0.58</v>
      </c>
      <c r="FKX19" s="175">
        <v>0.57</v>
      </c>
      <c r="FKY19" s="175">
        <v>0.55</v>
      </c>
      <c r="FKZ19" s="175">
        <v>0.53</v>
      </c>
      <c r="FLA19" s="157" t="s">
        <v>67</v>
      </c>
      <c r="FLB19" s="157"/>
      <c r="FLC19" s="157"/>
      <c r="FLD19" s="173">
        <v>0.62</v>
      </c>
      <c r="FLE19" s="173">
        <v>0.61</v>
      </c>
      <c r="FLF19" s="173">
        <v>0.61</v>
      </c>
      <c r="FLG19" s="173">
        <v>0.61</v>
      </c>
      <c r="FLH19" s="173">
        <v>0.6</v>
      </c>
      <c r="FLI19" s="174">
        <v>0.6</v>
      </c>
      <c r="FLJ19" s="173">
        <v>0.6</v>
      </c>
      <c r="FLK19" s="174">
        <v>0.59</v>
      </c>
      <c r="FLL19" s="175">
        <v>0.59</v>
      </c>
      <c r="FLM19" s="175">
        <v>0.58</v>
      </c>
      <c r="FLN19" s="175">
        <v>0.57</v>
      </c>
      <c r="FLO19" s="175">
        <v>0.55</v>
      </c>
      <c r="FLP19" s="175">
        <v>0.53</v>
      </c>
      <c r="FLQ19" s="157" t="s">
        <v>67</v>
      </c>
      <c r="FLR19" s="157"/>
      <c r="FLS19" s="157"/>
      <c r="FLT19" s="173">
        <v>0.62</v>
      </c>
      <c r="FLU19" s="173">
        <v>0.61</v>
      </c>
      <c r="FLV19" s="173">
        <v>0.61</v>
      </c>
      <c r="FLW19" s="173">
        <v>0.61</v>
      </c>
      <c r="FLX19" s="173">
        <v>0.6</v>
      </c>
      <c r="FLY19" s="174">
        <v>0.6</v>
      </c>
      <c r="FLZ19" s="173">
        <v>0.6</v>
      </c>
      <c r="FMA19" s="174">
        <v>0.59</v>
      </c>
      <c r="FMB19" s="175">
        <v>0.59</v>
      </c>
      <c r="FMC19" s="175">
        <v>0.58</v>
      </c>
      <c r="FMD19" s="175">
        <v>0.57</v>
      </c>
      <c r="FME19" s="175">
        <v>0.55</v>
      </c>
      <c r="FMF19" s="175">
        <v>0.53</v>
      </c>
      <c r="FMG19" s="157" t="s">
        <v>67</v>
      </c>
      <c r="FMH19" s="157"/>
      <c r="FMI19" s="157"/>
      <c r="FMJ19" s="173">
        <v>0.62</v>
      </c>
      <c r="FMK19" s="173">
        <v>0.61</v>
      </c>
      <c r="FML19" s="173">
        <v>0.61</v>
      </c>
      <c r="FMM19" s="173">
        <v>0.61</v>
      </c>
      <c r="FMN19" s="173">
        <v>0.6</v>
      </c>
      <c r="FMO19" s="174">
        <v>0.6</v>
      </c>
      <c r="FMP19" s="173">
        <v>0.6</v>
      </c>
      <c r="FMQ19" s="174">
        <v>0.59</v>
      </c>
      <c r="FMR19" s="175">
        <v>0.59</v>
      </c>
      <c r="FMS19" s="175">
        <v>0.58</v>
      </c>
      <c r="FMT19" s="175">
        <v>0.57</v>
      </c>
      <c r="FMU19" s="175">
        <v>0.55</v>
      </c>
      <c r="FMV19" s="175">
        <v>0.53</v>
      </c>
      <c r="FMW19" s="157" t="s">
        <v>67</v>
      </c>
      <c r="FMX19" s="157"/>
      <c r="FMY19" s="157"/>
      <c r="FMZ19" s="173">
        <v>0.62</v>
      </c>
      <c r="FNA19" s="173">
        <v>0.61</v>
      </c>
      <c r="FNB19" s="173">
        <v>0.61</v>
      </c>
      <c r="FNC19" s="173">
        <v>0.61</v>
      </c>
      <c r="FND19" s="173">
        <v>0.6</v>
      </c>
      <c r="FNE19" s="174">
        <v>0.6</v>
      </c>
      <c r="FNF19" s="173">
        <v>0.6</v>
      </c>
      <c r="FNG19" s="174">
        <v>0.59</v>
      </c>
      <c r="FNH19" s="175">
        <v>0.59</v>
      </c>
      <c r="FNI19" s="175">
        <v>0.58</v>
      </c>
      <c r="FNJ19" s="175">
        <v>0.57</v>
      </c>
      <c r="FNK19" s="175">
        <v>0.55</v>
      </c>
      <c r="FNL19" s="175">
        <v>0.53</v>
      </c>
      <c r="FNM19" s="157" t="s">
        <v>67</v>
      </c>
      <c r="FNN19" s="157"/>
      <c r="FNO19" s="157"/>
      <c r="FNP19" s="173">
        <v>0.62</v>
      </c>
      <c r="FNQ19" s="173">
        <v>0.61</v>
      </c>
      <c r="FNR19" s="173">
        <v>0.61</v>
      </c>
      <c r="FNS19" s="173">
        <v>0.61</v>
      </c>
      <c r="FNT19" s="173">
        <v>0.6</v>
      </c>
      <c r="FNU19" s="174">
        <v>0.6</v>
      </c>
      <c r="FNV19" s="173">
        <v>0.6</v>
      </c>
      <c r="FNW19" s="174">
        <v>0.59</v>
      </c>
      <c r="FNX19" s="175">
        <v>0.59</v>
      </c>
      <c r="FNY19" s="175">
        <v>0.58</v>
      </c>
      <c r="FNZ19" s="175">
        <v>0.57</v>
      </c>
      <c r="FOA19" s="175">
        <v>0.55</v>
      </c>
      <c r="FOB19" s="175">
        <v>0.53</v>
      </c>
      <c r="FOC19" s="157" t="s">
        <v>67</v>
      </c>
      <c r="FOD19" s="157"/>
      <c r="FOE19" s="157"/>
      <c r="FOF19" s="173">
        <v>0.62</v>
      </c>
      <c r="FOG19" s="173">
        <v>0.61</v>
      </c>
      <c r="FOH19" s="173">
        <v>0.61</v>
      </c>
      <c r="FOI19" s="173">
        <v>0.61</v>
      </c>
      <c r="FOJ19" s="173">
        <v>0.6</v>
      </c>
      <c r="FOK19" s="174">
        <v>0.6</v>
      </c>
      <c r="FOL19" s="173">
        <v>0.6</v>
      </c>
      <c r="FOM19" s="174">
        <v>0.59</v>
      </c>
      <c r="FON19" s="175">
        <v>0.59</v>
      </c>
      <c r="FOO19" s="175">
        <v>0.58</v>
      </c>
      <c r="FOP19" s="175">
        <v>0.57</v>
      </c>
      <c r="FOQ19" s="175">
        <v>0.55</v>
      </c>
      <c r="FOR19" s="175">
        <v>0.53</v>
      </c>
      <c r="FOS19" s="157" t="s">
        <v>67</v>
      </c>
      <c r="FOT19" s="157"/>
      <c r="FOU19" s="157"/>
      <c r="FOV19" s="173">
        <v>0.62</v>
      </c>
      <c r="FOW19" s="173">
        <v>0.61</v>
      </c>
      <c r="FOX19" s="173">
        <v>0.61</v>
      </c>
      <c r="FOY19" s="173">
        <v>0.61</v>
      </c>
      <c r="FOZ19" s="173">
        <v>0.6</v>
      </c>
      <c r="FPA19" s="174">
        <v>0.6</v>
      </c>
      <c r="FPB19" s="173">
        <v>0.6</v>
      </c>
      <c r="FPC19" s="174">
        <v>0.59</v>
      </c>
      <c r="FPD19" s="175">
        <v>0.59</v>
      </c>
      <c r="FPE19" s="175">
        <v>0.58</v>
      </c>
      <c r="FPF19" s="175">
        <v>0.57</v>
      </c>
      <c r="FPG19" s="175">
        <v>0.55</v>
      </c>
      <c r="FPH19" s="175">
        <v>0.53</v>
      </c>
      <c r="FPI19" s="157" t="s">
        <v>67</v>
      </c>
      <c r="FPJ19" s="157"/>
      <c r="FPK19" s="157"/>
      <c r="FPL19" s="173">
        <v>0.62</v>
      </c>
      <c r="FPM19" s="173">
        <v>0.61</v>
      </c>
      <c r="FPN19" s="173">
        <v>0.61</v>
      </c>
      <c r="FPO19" s="173">
        <v>0.61</v>
      </c>
      <c r="FPP19" s="173">
        <v>0.6</v>
      </c>
      <c r="FPQ19" s="174">
        <v>0.6</v>
      </c>
      <c r="FPR19" s="173">
        <v>0.6</v>
      </c>
      <c r="FPS19" s="174">
        <v>0.59</v>
      </c>
      <c r="FPT19" s="175">
        <v>0.59</v>
      </c>
      <c r="FPU19" s="175">
        <v>0.58</v>
      </c>
      <c r="FPV19" s="175">
        <v>0.57</v>
      </c>
      <c r="FPW19" s="175">
        <v>0.55</v>
      </c>
      <c r="FPX19" s="175">
        <v>0.53</v>
      </c>
      <c r="FPY19" s="157" t="s">
        <v>67</v>
      </c>
      <c r="FPZ19" s="157"/>
      <c r="FQA19" s="157"/>
      <c r="FQB19" s="173">
        <v>0.62</v>
      </c>
      <c r="FQC19" s="173">
        <v>0.61</v>
      </c>
      <c r="FQD19" s="173">
        <v>0.61</v>
      </c>
      <c r="FQE19" s="173">
        <v>0.61</v>
      </c>
      <c r="FQF19" s="173">
        <v>0.6</v>
      </c>
      <c r="FQG19" s="174">
        <v>0.6</v>
      </c>
      <c r="FQH19" s="173">
        <v>0.6</v>
      </c>
      <c r="FQI19" s="174">
        <v>0.59</v>
      </c>
      <c r="FQJ19" s="175">
        <v>0.59</v>
      </c>
      <c r="FQK19" s="175">
        <v>0.58</v>
      </c>
      <c r="FQL19" s="175">
        <v>0.57</v>
      </c>
      <c r="FQM19" s="175">
        <v>0.55</v>
      </c>
      <c r="FQN19" s="175">
        <v>0.53</v>
      </c>
      <c r="FQO19" s="157" t="s">
        <v>67</v>
      </c>
      <c r="FQP19" s="157"/>
      <c r="FQQ19" s="157"/>
      <c r="FQR19" s="173">
        <v>0.62</v>
      </c>
      <c r="FQS19" s="173">
        <v>0.61</v>
      </c>
      <c r="FQT19" s="173">
        <v>0.61</v>
      </c>
      <c r="FQU19" s="173">
        <v>0.61</v>
      </c>
      <c r="FQV19" s="173">
        <v>0.6</v>
      </c>
      <c r="FQW19" s="174">
        <v>0.6</v>
      </c>
      <c r="FQX19" s="173">
        <v>0.6</v>
      </c>
      <c r="FQY19" s="174">
        <v>0.59</v>
      </c>
      <c r="FQZ19" s="175">
        <v>0.59</v>
      </c>
      <c r="FRA19" s="175">
        <v>0.58</v>
      </c>
      <c r="FRB19" s="175">
        <v>0.57</v>
      </c>
      <c r="FRC19" s="175">
        <v>0.55</v>
      </c>
      <c r="FRD19" s="175">
        <v>0.53</v>
      </c>
      <c r="FRE19" s="157" t="s">
        <v>67</v>
      </c>
      <c r="FRF19" s="157"/>
      <c r="FRG19" s="157"/>
      <c r="FRH19" s="173">
        <v>0.62</v>
      </c>
      <c r="FRI19" s="173">
        <v>0.61</v>
      </c>
      <c r="FRJ19" s="173">
        <v>0.61</v>
      </c>
      <c r="FRK19" s="173">
        <v>0.61</v>
      </c>
      <c r="FRL19" s="173">
        <v>0.6</v>
      </c>
      <c r="FRM19" s="174">
        <v>0.6</v>
      </c>
      <c r="FRN19" s="173">
        <v>0.6</v>
      </c>
      <c r="FRO19" s="174">
        <v>0.59</v>
      </c>
      <c r="FRP19" s="175">
        <v>0.59</v>
      </c>
      <c r="FRQ19" s="175">
        <v>0.58</v>
      </c>
      <c r="FRR19" s="175">
        <v>0.57</v>
      </c>
      <c r="FRS19" s="175">
        <v>0.55</v>
      </c>
      <c r="FRT19" s="175">
        <v>0.53</v>
      </c>
      <c r="FRU19" s="157" t="s">
        <v>67</v>
      </c>
      <c r="FRV19" s="157"/>
      <c r="FRW19" s="157"/>
      <c r="FRX19" s="173">
        <v>0.62</v>
      </c>
      <c r="FRY19" s="173">
        <v>0.61</v>
      </c>
      <c r="FRZ19" s="173">
        <v>0.61</v>
      </c>
      <c r="FSA19" s="173">
        <v>0.61</v>
      </c>
      <c r="FSB19" s="173">
        <v>0.6</v>
      </c>
      <c r="FSC19" s="174">
        <v>0.6</v>
      </c>
      <c r="FSD19" s="173">
        <v>0.6</v>
      </c>
      <c r="FSE19" s="174">
        <v>0.59</v>
      </c>
      <c r="FSF19" s="175">
        <v>0.59</v>
      </c>
      <c r="FSG19" s="175">
        <v>0.58</v>
      </c>
      <c r="FSH19" s="175">
        <v>0.57</v>
      </c>
      <c r="FSI19" s="175">
        <v>0.55</v>
      </c>
      <c r="FSJ19" s="175">
        <v>0.53</v>
      </c>
      <c r="FSK19" s="157" t="s">
        <v>67</v>
      </c>
      <c r="FSL19" s="157"/>
      <c r="FSM19" s="157"/>
      <c r="FSN19" s="173">
        <v>0.62</v>
      </c>
      <c r="FSO19" s="173">
        <v>0.61</v>
      </c>
      <c r="FSP19" s="173">
        <v>0.61</v>
      </c>
      <c r="FSQ19" s="173">
        <v>0.61</v>
      </c>
      <c r="FSR19" s="173">
        <v>0.6</v>
      </c>
      <c r="FSS19" s="174">
        <v>0.6</v>
      </c>
      <c r="FST19" s="173">
        <v>0.6</v>
      </c>
      <c r="FSU19" s="174">
        <v>0.59</v>
      </c>
      <c r="FSV19" s="175">
        <v>0.59</v>
      </c>
      <c r="FSW19" s="175">
        <v>0.58</v>
      </c>
      <c r="FSX19" s="175">
        <v>0.57</v>
      </c>
      <c r="FSY19" s="175">
        <v>0.55</v>
      </c>
      <c r="FSZ19" s="175">
        <v>0.53</v>
      </c>
      <c r="FTA19" s="157" t="s">
        <v>67</v>
      </c>
      <c r="FTB19" s="157"/>
      <c r="FTC19" s="157"/>
      <c r="FTD19" s="173">
        <v>0.62</v>
      </c>
      <c r="FTE19" s="173">
        <v>0.61</v>
      </c>
      <c r="FTF19" s="173">
        <v>0.61</v>
      </c>
      <c r="FTG19" s="173">
        <v>0.61</v>
      </c>
      <c r="FTH19" s="173">
        <v>0.6</v>
      </c>
      <c r="FTI19" s="174">
        <v>0.6</v>
      </c>
      <c r="FTJ19" s="173">
        <v>0.6</v>
      </c>
      <c r="FTK19" s="174">
        <v>0.59</v>
      </c>
      <c r="FTL19" s="175">
        <v>0.59</v>
      </c>
      <c r="FTM19" s="175">
        <v>0.58</v>
      </c>
      <c r="FTN19" s="175">
        <v>0.57</v>
      </c>
      <c r="FTO19" s="175">
        <v>0.55</v>
      </c>
      <c r="FTP19" s="175">
        <v>0.53</v>
      </c>
      <c r="FTQ19" s="157" t="s">
        <v>67</v>
      </c>
      <c r="FTR19" s="157"/>
      <c r="FTS19" s="157"/>
      <c r="FTT19" s="173">
        <v>0.62</v>
      </c>
      <c r="FTU19" s="173">
        <v>0.61</v>
      </c>
      <c r="FTV19" s="173">
        <v>0.61</v>
      </c>
      <c r="FTW19" s="173">
        <v>0.61</v>
      </c>
      <c r="FTX19" s="173">
        <v>0.6</v>
      </c>
      <c r="FTY19" s="174">
        <v>0.6</v>
      </c>
      <c r="FTZ19" s="173">
        <v>0.6</v>
      </c>
      <c r="FUA19" s="174">
        <v>0.59</v>
      </c>
      <c r="FUB19" s="175">
        <v>0.59</v>
      </c>
      <c r="FUC19" s="175">
        <v>0.58</v>
      </c>
      <c r="FUD19" s="175">
        <v>0.57</v>
      </c>
      <c r="FUE19" s="175">
        <v>0.55</v>
      </c>
      <c r="FUF19" s="175">
        <v>0.53</v>
      </c>
      <c r="FUG19" s="157" t="s">
        <v>67</v>
      </c>
      <c r="FUH19" s="157"/>
      <c r="FUI19" s="157"/>
      <c r="FUJ19" s="173">
        <v>0.62</v>
      </c>
      <c r="FUK19" s="173">
        <v>0.61</v>
      </c>
      <c r="FUL19" s="173">
        <v>0.61</v>
      </c>
      <c r="FUM19" s="173">
        <v>0.61</v>
      </c>
      <c r="FUN19" s="173">
        <v>0.6</v>
      </c>
      <c r="FUO19" s="174">
        <v>0.6</v>
      </c>
      <c r="FUP19" s="173">
        <v>0.6</v>
      </c>
      <c r="FUQ19" s="174">
        <v>0.59</v>
      </c>
      <c r="FUR19" s="175">
        <v>0.59</v>
      </c>
      <c r="FUS19" s="175">
        <v>0.58</v>
      </c>
      <c r="FUT19" s="175">
        <v>0.57</v>
      </c>
      <c r="FUU19" s="175">
        <v>0.55</v>
      </c>
      <c r="FUV19" s="175">
        <v>0.53</v>
      </c>
      <c r="FUW19" s="157" t="s">
        <v>67</v>
      </c>
      <c r="FUX19" s="157"/>
      <c r="FUY19" s="157"/>
      <c r="FUZ19" s="173">
        <v>0.62</v>
      </c>
      <c r="FVA19" s="173">
        <v>0.61</v>
      </c>
      <c r="FVB19" s="173">
        <v>0.61</v>
      </c>
      <c r="FVC19" s="173">
        <v>0.61</v>
      </c>
      <c r="FVD19" s="173">
        <v>0.6</v>
      </c>
      <c r="FVE19" s="174">
        <v>0.6</v>
      </c>
      <c r="FVF19" s="173">
        <v>0.6</v>
      </c>
      <c r="FVG19" s="174">
        <v>0.59</v>
      </c>
      <c r="FVH19" s="175">
        <v>0.59</v>
      </c>
      <c r="FVI19" s="175">
        <v>0.58</v>
      </c>
      <c r="FVJ19" s="175">
        <v>0.57</v>
      </c>
      <c r="FVK19" s="175">
        <v>0.55</v>
      </c>
      <c r="FVL19" s="175">
        <v>0.53</v>
      </c>
      <c r="FVM19" s="157" t="s">
        <v>67</v>
      </c>
      <c r="FVN19" s="157"/>
      <c r="FVO19" s="157"/>
      <c r="FVP19" s="173">
        <v>0.62</v>
      </c>
      <c r="FVQ19" s="173">
        <v>0.61</v>
      </c>
      <c r="FVR19" s="173">
        <v>0.61</v>
      </c>
      <c r="FVS19" s="173">
        <v>0.61</v>
      </c>
      <c r="FVT19" s="173">
        <v>0.6</v>
      </c>
      <c r="FVU19" s="174">
        <v>0.6</v>
      </c>
      <c r="FVV19" s="173">
        <v>0.6</v>
      </c>
      <c r="FVW19" s="174">
        <v>0.59</v>
      </c>
      <c r="FVX19" s="175">
        <v>0.59</v>
      </c>
      <c r="FVY19" s="175">
        <v>0.58</v>
      </c>
      <c r="FVZ19" s="175">
        <v>0.57</v>
      </c>
      <c r="FWA19" s="175">
        <v>0.55</v>
      </c>
      <c r="FWB19" s="175">
        <v>0.53</v>
      </c>
      <c r="FWC19" s="157" t="s">
        <v>67</v>
      </c>
      <c r="FWD19" s="157"/>
      <c r="FWE19" s="157"/>
      <c r="FWF19" s="173">
        <v>0.62</v>
      </c>
      <c r="FWG19" s="173">
        <v>0.61</v>
      </c>
      <c r="FWH19" s="173">
        <v>0.61</v>
      </c>
      <c r="FWI19" s="173">
        <v>0.61</v>
      </c>
      <c r="FWJ19" s="173">
        <v>0.6</v>
      </c>
      <c r="FWK19" s="174">
        <v>0.6</v>
      </c>
      <c r="FWL19" s="173">
        <v>0.6</v>
      </c>
      <c r="FWM19" s="174">
        <v>0.59</v>
      </c>
      <c r="FWN19" s="175">
        <v>0.59</v>
      </c>
      <c r="FWO19" s="175">
        <v>0.58</v>
      </c>
      <c r="FWP19" s="175">
        <v>0.57</v>
      </c>
      <c r="FWQ19" s="175">
        <v>0.55</v>
      </c>
      <c r="FWR19" s="175">
        <v>0.53</v>
      </c>
      <c r="FWS19" s="157" t="s">
        <v>67</v>
      </c>
      <c r="FWT19" s="157"/>
      <c r="FWU19" s="157"/>
      <c r="FWV19" s="173">
        <v>0.62</v>
      </c>
      <c r="FWW19" s="173">
        <v>0.61</v>
      </c>
      <c r="FWX19" s="173">
        <v>0.61</v>
      </c>
      <c r="FWY19" s="173">
        <v>0.61</v>
      </c>
      <c r="FWZ19" s="173">
        <v>0.6</v>
      </c>
      <c r="FXA19" s="174">
        <v>0.6</v>
      </c>
      <c r="FXB19" s="173">
        <v>0.6</v>
      </c>
      <c r="FXC19" s="174">
        <v>0.59</v>
      </c>
      <c r="FXD19" s="175">
        <v>0.59</v>
      </c>
      <c r="FXE19" s="175">
        <v>0.58</v>
      </c>
      <c r="FXF19" s="175">
        <v>0.57</v>
      </c>
      <c r="FXG19" s="175">
        <v>0.55</v>
      </c>
      <c r="FXH19" s="175">
        <v>0.53</v>
      </c>
      <c r="FXI19" s="157" t="s">
        <v>67</v>
      </c>
      <c r="FXJ19" s="157"/>
      <c r="FXK19" s="157"/>
      <c r="FXL19" s="173">
        <v>0.62</v>
      </c>
      <c r="FXM19" s="173">
        <v>0.61</v>
      </c>
      <c r="FXN19" s="173">
        <v>0.61</v>
      </c>
      <c r="FXO19" s="173">
        <v>0.61</v>
      </c>
      <c r="FXP19" s="173">
        <v>0.6</v>
      </c>
      <c r="FXQ19" s="174">
        <v>0.6</v>
      </c>
      <c r="FXR19" s="173">
        <v>0.6</v>
      </c>
      <c r="FXS19" s="174">
        <v>0.59</v>
      </c>
      <c r="FXT19" s="175">
        <v>0.59</v>
      </c>
      <c r="FXU19" s="175">
        <v>0.58</v>
      </c>
      <c r="FXV19" s="175">
        <v>0.57</v>
      </c>
      <c r="FXW19" s="175">
        <v>0.55</v>
      </c>
      <c r="FXX19" s="175">
        <v>0.53</v>
      </c>
      <c r="FXY19" s="157" t="s">
        <v>67</v>
      </c>
      <c r="FXZ19" s="157"/>
      <c r="FYA19" s="157"/>
      <c r="FYB19" s="173">
        <v>0.62</v>
      </c>
      <c r="FYC19" s="173">
        <v>0.61</v>
      </c>
      <c r="FYD19" s="173">
        <v>0.61</v>
      </c>
      <c r="FYE19" s="173">
        <v>0.61</v>
      </c>
      <c r="FYF19" s="173">
        <v>0.6</v>
      </c>
      <c r="FYG19" s="174">
        <v>0.6</v>
      </c>
      <c r="FYH19" s="173">
        <v>0.6</v>
      </c>
      <c r="FYI19" s="174">
        <v>0.59</v>
      </c>
      <c r="FYJ19" s="175">
        <v>0.59</v>
      </c>
      <c r="FYK19" s="175">
        <v>0.58</v>
      </c>
      <c r="FYL19" s="175">
        <v>0.57</v>
      </c>
      <c r="FYM19" s="175">
        <v>0.55</v>
      </c>
      <c r="FYN19" s="175">
        <v>0.53</v>
      </c>
      <c r="FYO19" s="157" t="s">
        <v>67</v>
      </c>
      <c r="FYP19" s="157"/>
      <c r="FYQ19" s="157"/>
      <c r="FYR19" s="173">
        <v>0.62</v>
      </c>
      <c r="FYS19" s="173">
        <v>0.61</v>
      </c>
      <c r="FYT19" s="173">
        <v>0.61</v>
      </c>
      <c r="FYU19" s="173">
        <v>0.61</v>
      </c>
      <c r="FYV19" s="173">
        <v>0.6</v>
      </c>
      <c r="FYW19" s="174">
        <v>0.6</v>
      </c>
      <c r="FYX19" s="173">
        <v>0.6</v>
      </c>
      <c r="FYY19" s="174">
        <v>0.59</v>
      </c>
      <c r="FYZ19" s="175">
        <v>0.59</v>
      </c>
      <c r="FZA19" s="175">
        <v>0.58</v>
      </c>
      <c r="FZB19" s="175">
        <v>0.57</v>
      </c>
      <c r="FZC19" s="175">
        <v>0.55</v>
      </c>
      <c r="FZD19" s="175">
        <v>0.53</v>
      </c>
      <c r="FZE19" s="157" t="s">
        <v>67</v>
      </c>
      <c r="FZF19" s="157"/>
      <c r="FZG19" s="157"/>
      <c r="FZH19" s="173">
        <v>0.62</v>
      </c>
      <c r="FZI19" s="173">
        <v>0.61</v>
      </c>
      <c r="FZJ19" s="173">
        <v>0.61</v>
      </c>
      <c r="FZK19" s="173">
        <v>0.61</v>
      </c>
      <c r="FZL19" s="173">
        <v>0.6</v>
      </c>
      <c r="FZM19" s="174">
        <v>0.6</v>
      </c>
      <c r="FZN19" s="173">
        <v>0.6</v>
      </c>
      <c r="FZO19" s="174">
        <v>0.59</v>
      </c>
      <c r="FZP19" s="175">
        <v>0.59</v>
      </c>
      <c r="FZQ19" s="175">
        <v>0.58</v>
      </c>
      <c r="FZR19" s="175">
        <v>0.57</v>
      </c>
      <c r="FZS19" s="175">
        <v>0.55</v>
      </c>
      <c r="FZT19" s="175">
        <v>0.53</v>
      </c>
      <c r="FZU19" s="157" t="s">
        <v>67</v>
      </c>
      <c r="FZV19" s="157"/>
      <c r="FZW19" s="157"/>
      <c r="FZX19" s="173">
        <v>0.62</v>
      </c>
      <c r="FZY19" s="173">
        <v>0.61</v>
      </c>
      <c r="FZZ19" s="173">
        <v>0.61</v>
      </c>
      <c r="GAA19" s="173">
        <v>0.61</v>
      </c>
      <c r="GAB19" s="173">
        <v>0.6</v>
      </c>
      <c r="GAC19" s="174">
        <v>0.6</v>
      </c>
      <c r="GAD19" s="173">
        <v>0.6</v>
      </c>
      <c r="GAE19" s="174">
        <v>0.59</v>
      </c>
      <c r="GAF19" s="175">
        <v>0.59</v>
      </c>
      <c r="GAG19" s="175">
        <v>0.58</v>
      </c>
      <c r="GAH19" s="175">
        <v>0.57</v>
      </c>
      <c r="GAI19" s="175">
        <v>0.55</v>
      </c>
      <c r="GAJ19" s="175">
        <v>0.53</v>
      </c>
      <c r="GAK19" s="157" t="s">
        <v>67</v>
      </c>
      <c r="GAL19" s="157"/>
      <c r="GAM19" s="157"/>
      <c r="GAN19" s="173">
        <v>0.62</v>
      </c>
      <c r="GAO19" s="173">
        <v>0.61</v>
      </c>
      <c r="GAP19" s="173">
        <v>0.61</v>
      </c>
      <c r="GAQ19" s="173">
        <v>0.61</v>
      </c>
      <c r="GAR19" s="173">
        <v>0.6</v>
      </c>
      <c r="GAS19" s="174">
        <v>0.6</v>
      </c>
      <c r="GAT19" s="173">
        <v>0.6</v>
      </c>
      <c r="GAU19" s="174">
        <v>0.59</v>
      </c>
      <c r="GAV19" s="175">
        <v>0.59</v>
      </c>
      <c r="GAW19" s="175">
        <v>0.58</v>
      </c>
      <c r="GAX19" s="175">
        <v>0.57</v>
      </c>
      <c r="GAY19" s="175">
        <v>0.55</v>
      </c>
      <c r="GAZ19" s="175">
        <v>0.53</v>
      </c>
      <c r="GBA19" s="157" t="s">
        <v>67</v>
      </c>
      <c r="GBB19" s="157"/>
      <c r="GBC19" s="157"/>
      <c r="GBD19" s="173">
        <v>0.62</v>
      </c>
      <c r="GBE19" s="173">
        <v>0.61</v>
      </c>
      <c r="GBF19" s="173">
        <v>0.61</v>
      </c>
      <c r="GBG19" s="173">
        <v>0.61</v>
      </c>
      <c r="GBH19" s="173">
        <v>0.6</v>
      </c>
      <c r="GBI19" s="174">
        <v>0.6</v>
      </c>
      <c r="GBJ19" s="173">
        <v>0.6</v>
      </c>
      <c r="GBK19" s="174">
        <v>0.59</v>
      </c>
      <c r="GBL19" s="175">
        <v>0.59</v>
      </c>
      <c r="GBM19" s="175">
        <v>0.58</v>
      </c>
      <c r="GBN19" s="175">
        <v>0.57</v>
      </c>
      <c r="GBO19" s="175">
        <v>0.55</v>
      </c>
      <c r="GBP19" s="175">
        <v>0.53</v>
      </c>
      <c r="GBQ19" s="157" t="s">
        <v>67</v>
      </c>
      <c r="GBR19" s="157"/>
      <c r="GBS19" s="157"/>
      <c r="GBT19" s="173">
        <v>0.62</v>
      </c>
      <c r="GBU19" s="173">
        <v>0.61</v>
      </c>
      <c r="GBV19" s="173">
        <v>0.61</v>
      </c>
      <c r="GBW19" s="173">
        <v>0.61</v>
      </c>
      <c r="GBX19" s="173">
        <v>0.6</v>
      </c>
      <c r="GBY19" s="174">
        <v>0.6</v>
      </c>
      <c r="GBZ19" s="173">
        <v>0.6</v>
      </c>
      <c r="GCA19" s="174">
        <v>0.59</v>
      </c>
      <c r="GCB19" s="175">
        <v>0.59</v>
      </c>
      <c r="GCC19" s="175">
        <v>0.58</v>
      </c>
      <c r="GCD19" s="175">
        <v>0.57</v>
      </c>
      <c r="GCE19" s="175">
        <v>0.55</v>
      </c>
      <c r="GCF19" s="175">
        <v>0.53</v>
      </c>
      <c r="GCG19" s="157" t="s">
        <v>67</v>
      </c>
      <c r="GCH19" s="157"/>
      <c r="GCI19" s="157"/>
      <c r="GCJ19" s="173">
        <v>0.62</v>
      </c>
      <c r="GCK19" s="173">
        <v>0.61</v>
      </c>
      <c r="GCL19" s="173">
        <v>0.61</v>
      </c>
      <c r="GCM19" s="173">
        <v>0.61</v>
      </c>
      <c r="GCN19" s="173">
        <v>0.6</v>
      </c>
      <c r="GCO19" s="174">
        <v>0.6</v>
      </c>
      <c r="GCP19" s="173">
        <v>0.6</v>
      </c>
      <c r="GCQ19" s="174">
        <v>0.59</v>
      </c>
      <c r="GCR19" s="175">
        <v>0.59</v>
      </c>
      <c r="GCS19" s="175">
        <v>0.58</v>
      </c>
      <c r="GCT19" s="175">
        <v>0.57</v>
      </c>
      <c r="GCU19" s="175">
        <v>0.55</v>
      </c>
      <c r="GCV19" s="175">
        <v>0.53</v>
      </c>
      <c r="GCW19" s="157" t="s">
        <v>67</v>
      </c>
      <c r="GCX19" s="157"/>
      <c r="GCY19" s="157"/>
      <c r="GCZ19" s="173">
        <v>0.62</v>
      </c>
      <c r="GDA19" s="173">
        <v>0.61</v>
      </c>
      <c r="GDB19" s="173">
        <v>0.61</v>
      </c>
      <c r="GDC19" s="173">
        <v>0.61</v>
      </c>
      <c r="GDD19" s="173">
        <v>0.6</v>
      </c>
      <c r="GDE19" s="174">
        <v>0.6</v>
      </c>
      <c r="GDF19" s="173">
        <v>0.6</v>
      </c>
      <c r="GDG19" s="174">
        <v>0.59</v>
      </c>
      <c r="GDH19" s="175">
        <v>0.59</v>
      </c>
      <c r="GDI19" s="175">
        <v>0.58</v>
      </c>
      <c r="GDJ19" s="175">
        <v>0.57</v>
      </c>
      <c r="GDK19" s="175">
        <v>0.55</v>
      </c>
      <c r="GDL19" s="175">
        <v>0.53</v>
      </c>
      <c r="GDM19" s="157" t="s">
        <v>67</v>
      </c>
      <c r="GDN19" s="157"/>
      <c r="GDO19" s="157"/>
      <c r="GDP19" s="173">
        <v>0.62</v>
      </c>
      <c r="GDQ19" s="173">
        <v>0.61</v>
      </c>
      <c r="GDR19" s="173">
        <v>0.61</v>
      </c>
      <c r="GDS19" s="173">
        <v>0.61</v>
      </c>
      <c r="GDT19" s="173">
        <v>0.6</v>
      </c>
      <c r="GDU19" s="174">
        <v>0.6</v>
      </c>
      <c r="GDV19" s="173">
        <v>0.6</v>
      </c>
      <c r="GDW19" s="174">
        <v>0.59</v>
      </c>
      <c r="GDX19" s="175">
        <v>0.59</v>
      </c>
      <c r="GDY19" s="175">
        <v>0.58</v>
      </c>
      <c r="GDZ19" s="175">
        <v>0.57</v>
      </c>
      <c r="GEA19" s="175">
        <v>0.55</v>
      </c>
      <c r="GEB19" s="175">
        <v>0.53</v>
      </c>
      <c r="GEC19" s="157" t="s">
        <v>67</v>
      </c>
      <c r="GED19" s="157"/>
      <c r="GEE19" s="157"/>
      <c r="GEF19" s="173">
        <v>0.62</v>
      </c>
      <c r="GEG19" s="173">
        <v>0.61</v>
      </c>
      <c r="GEH19" s="173">
        <v>0.61</v>
      </c>
      <c r="GEI19" s="173">
        <v>0.61</v>
      </c>
      <c r="GEJ19" s="173">
        <v>0.6</v>
      </c>
      <c r="GEK19" s="174">
        <v>0.6</v>
      </c>
      <c r="GEL19" s="173">
        <v>0.6</v>
      </c>
      <c r="GEM19" s="174">
        <v>0.59</v>
      </c>
      <c r="GEN19" s="175">
        <v>0.59</v>
      </c>
      <c r="GEO19" s="175">
        <v>0.58</v>
      </c>
      <c r="GEP19" s="175">
        <v>0.57</v>
      </c>
      <c r="GEQ19" s="175">
        <v>0.55</v>
      </c>
      <c r="GER19" s="175">
        <v>0.53</v>
      </c>
      <c r="GES19" s="157" t="s">
        <v>67</v>
      </c>
      <c r="GET19" s="157"/>
      <c r="GEU19" s="157"/>
      <c r="GEV19" s="173">
        <v>0.62</v>
      </c>
      <c r="GEW19" s="173">
        <v>0.61</v>
      </c>
      <c r="GEX19" s="173">
        <v>0.61</v>
      </c>
      <c r="GEY19" s="173">
        <v>0.61</v>
      </c>
      <c r="GEZ19" s="173">
        <v>0.6</v>
      </c>
      <c r="GFA19" s="174">
        <v>0.6</v>
      </c>
      <c r="GFB19" s="173">
        <v>0.6</v>
      </c>
      <c r="GFC19" s="174">
        <v>0.59</v>
      </c>
      <c r="GFD19" s="175">
        <v>0.59</v>
      </c>
      <c r="GFE19" s="175">
        <v>0.58</v>
      </c>
      <c r="GFF19" s="175">
        <v>0.57</v>
      </c>
      <c r="GFG19" s="175">
        <v>0.55</v>
      </c>
      <c r="GFH19" s="175">
        <v>0.53</v>
      </c>
      <c r="GFI19" s="157" t="s">
        <v>67</v>
      </c>
      <c r="GFJ19" s="157"/>
      <c r="GFK19" s="157"/>
      <c r="GFL19" s="173">
        <v>0.62</v>
      </c>
      <c r="GFM19" s="173">
        <v>0.61</v>
      </c>
      <c r="GFN19" s="173">
        <v>0.61</v>
      </c>
      <c r="GFO19" s="173">
        <v>0.61</v>
      </c>
      <c r="GFP19" s="173">
        <v>0.6</v>
      </c>
      <c r="GFQ19" s="174">
        <v>0.6</v>
      </c>
      <c r="GFR19" s="173">
        <v>0.6</v>
      </c>
      <c r="GFS19" s="174">
        <v>0.59</v>
      </c>
      <c r="GFT19" s="175">
        <v>0.59</v>
      </c>
      <c r="GFU19" s="175">
        <v>0.58</v>
      </c>
      <c r="GFV19" s="175">
        <v>0.57</v>
      </c>
      <c r="GFW19" s="175">
        <v>0.55</v>
      </c>
      <c r="GFX19" s="175">
        <v>0.53</v>
      </c>
      <c r="GFY19" s="157" t="s">
        <v>67</v>
      </c>
      <c r="GFZ19" s="157"/>
      <c r="GGA19" s="157"/>
      <c r="GGB19" s="173">
        <v>0.62</v>
      </c>
      <c r="GGC19" s="173">
        <v>0.61</v>
      </c>
      <c r="GGD19" s="173">
        <v>0.61</v>
      </c>
      <c r="GGE19" s="173">
        <v>0.61</v>
      </c>
      <c r="GGF19" s="173">
        <v>0.6</v>
      </c>
      <c r="GGG19" s="174">
        <v>0.6</v>
      </c>
      <c r="GGH19" s="173">
        <v>0.6</v>
      </c>
      <c r="GGI19" s="174">
        <v>0.59</v>
      </c>
      <c r="GGJ19" s="175">
        <v>0.59</v>
      </c>
      <c r="GGK19" s="175">
        <v>0.58</v>
      </c>
      <c r="GGL19" s="175">
        <v>0.57</v>
      </c>
      <c r="GGM19" s="175">
        <v>0.55</v>
      </c>
      <c r="GGN19" s="175">
        <v>0.53</v>
      </c>
      <c r="GGO19" s="157" t="s">
        <v>67</v>
      </c>
      <c r="GGP19" s="157"/>
      <c r="GGQ19" s="157"/>
      <c r="GGR19" s="173">
        <v>0.62</v>
      </c>
      <c r="GGS19" s="173">
        <v>0.61</v>
      </c>
      <c r="GGT19" s="173">
        <v>0.61</v>
      </c>
      <c r="GGU19" s="173">
        <v>0.61</v>
      </c>
      <c r="GGV19" s="173">
        <v>0.6</v>
      </c>
      <c r="GGW19" s="174">
        <v>0.6</v>
      </c>
      <c r="GGX19" s="173">
        <v>0.6</v>
      </c>
      <c r="GGY19" s="174">
        <v>0.59</v>
      </c>
      <c r="GGZ19" s="175">
        <v>0.59</v>
      </c>
      <c r="GHA19" s="175">
        <v>0.58</v>
      </c>
      <c r="GHB19" s="175">
        <v>0.57</v>
      </c>
      <c r="GHC19" s="175">
        <v>0.55</v>
      </c>
      <c r="GHD19" s="175">
        <v>0.53</v>
      </c>
      <c r="GHE19" s="157" t="s">
        <v>67</v>
      </c>
      <c r="GHF19" s="157"/>
      <c r="GHG19" s="157"/>
      <c r="GHH19" s="173">
        <v>0.62</v>
      </c>
      <c r="GHI19" s="173">
        <v>0.61</v>
      </c>
      <c r="GHJ19" s="173">
        <v>0.61</v>
      </c>
      <c r="GHK19" s="173">
        <v>0.61</v>
      </c>
      <c r="GHL19" s="173">
        <v>0.6</v>
      </c>
      <c r="GHM19" s="174">
        <v>0.6</v>
      </c>
      <c r="GHN19" s="173">
        <v>0.6</v>
      </c>
      <c r="GHO19" s="174">
        <v>0.59</v>
      </c>
      <c r="GHP19" s="175">
        <v>0.59</v>
      </c>
      <c r="GHQ19" s="175">
        <v>0.58</v>
      </c>
      <c r="GHR19" s="175">
        <v>0.57</v>
      </c>
      <c r="GHS19" s="175">
        <v>0.55</v>
      </c>
      <c r="GHT19" s="175">
        <v>0.53</v>
      </c>
      <c r="GHU19" s="157" t="s">
        <v>67</v>
      </c>
      <c r="GHV19" s="157"/>
      <c r="GHW19" s="157"/>
      <c r="GHX19" s="173">
        <v>0.62</v>
      </c>
      <c r="GHY19" s="173">
        <v>0.61</v>
      </c>
      <c r="GHZ19" s="173">
        <v>0.61</v>
      </c>
      <c r="GIA19" s="173">
        <v>0.61</v>
      </c>
      <c r="GIB19" s="173">
        <v>0.6</v>
      </c>
      <c r="GIC19" s="174">
        <v>0.6</v>
      </c>
      <c r="GID19" s="173">
        <v>0.6</v>
      </c>
      <c r="GIE19" s="174">
        <v>0.59</v>
      </c>
      <c r="GIF19" s="175">
        <v>0.59</v>
      </c>
      <c r="GIG19" s="175">
        <v>0.58</v>
      </c>
      <c r="GIH19" s="175">
        <v>0.57</v>
      </c>
      <c r="GII19" s="175">
        <v>0.55</v>
      </c>
      <c r="GIJ19" s="175">
        <v>0.53</v>
      </c>
      <c r="GIK19" s="157" t="s">
        <v>67</v>
      </c>
      <c r="GIL19" s="157"/>
      <c r="GIM19" s="157"/>
      <c r="GIN19" s="173">
        <v>0.62</v>
      </c>
      <c r="GIO19" s="173">
        <v>0.61</v>
      </c>
      <c r="GIP19" s="173">
        <v>0.61</v>
      </c>
      <c r="GIQ19" s="173">
        <v>0.61</v>
      </c>
      <c r="GIR19" s="173">
        <v>0.6</v>
      </c>
      <c r="GIS19" s="174">
        <v>0.6</v>
      </c>
      <c r="GIT19" s="173">
        <v>0.6</v>
      </c>
      <c r="GIU19" s="174">
        <v>0.59</v>
      </c>
      <c r="GIV19" s="175">
        <v>0.59</v>
      </c>
      <c r="GIW19" s="175">
        <v>0.58</v>
      </c>
      <c r="GIX19" s="175">
        <v>0.57</v>
      </c>
      <c r="GIY19" s="175">
        <v>0.55</v>
      </c>
      <c r="GIZ19" s="175">
        <v>0.53</v>
      </c>
      <c r="GJA19" s="157" t="s">
        <v>67</v>
      </c>
      <c r="GJB19" s="157"/>
      <c r="GJC19" s="157"/>
      <c r="GJD19" s="173">
        <v>0.62</v>
      </c>
      <c r="GJE19" s="173">
        <v>0.61</v>
      </c>
      <c r="GJF19" s="173">
        <v>0.61</v>
      </c>
      <c r="GJG19" s="173">
        <v>0.61</v>
      </c>
      <c r="GJH19" s="173">
        <v>0.6</v>
      </c>
      <c r="GJI19" s="174">
        <v>0.6</v>
      </c>
      <c r="GJJ19" s="173">
        <v>0.6</v>
      </c>
      <c r="GJK19" s="174">
        <v>0.59</v>
      </c>
      <c r="GJL19" s="175">
        <v>0.59</v>
      </c>
      <c r="GJM19" s="175">
        <v>0.58</v>
      </c>
      <c r="GJN19" s="175">
        <v>0.57</v>
      </c>
      <c r="GJO19" s="175">
        <v>0.55</v>
      </c>
      <c r="GJP19" s="175">
        <v>0.53</v>
      </c>
      <c r="GJQ19" s="157" t="s">
        <v>67</v>
      </c>
      <c r="GJR19" s="157"/>
      <c r="GJS19" s="157"/>
      <c r="GJT19" s="173">
        <v>0.62</v>
      </c>
      <c r="GJU19" s="173">
        <v>0.61</v>
      </c>
      <c r="GJV19" s="173">
        <v>0.61</v>
      </c>
      <c r="GJW19" s="173">
        <v>0.61</v>
      </c>
      <c r="GJX19" s="173">
        <v>0.6</v>
      </c>
      <c r="GJY19" s="174">
        <v>0.6</v>
      </c>
      <c r="GJZ19" s="173">
        <v>0.6</v>
      </c>
      <c r="GKA19" s="174">
        <v>0.59</v>
      </c>
      <c r="GKB19" s="175">
        <v>0.59</v>
      </c>
      <c r="GKC19" s="175">
        <v>0.58</v>
      </c>
      <c r="GKD19" s="175">
        <v>0.57</v>
      </c>
      <c r="GKE19" s="175">
        <v>0.55</v>
      </c>
      <c r="GKF19" s="175">
        <v>0.53</v>
      </c>
      <c r="GKG19" s="157" t="s">
        <v>67</v>
      </c>
      <c r="GKH19" s="157"/>
      <c r="GKI19" s="157"/>
      <c r="GKJ19" s="173">
        <v>0.62</v>
      </c>
      <c r="GKK19" s="173">
        <v>0.61</v>
      </c>
      <c r="GKL19" s="173">
        <v>0.61</v>
      </c>
      <c r="GKM19" s="173">
        <v>0.61</v>
      </c>
      <c r="GKN19" s="173">
        <v>0.6</v>
      </c>
      <c r="GKO19" s="174">
        <v>0.6</v>
      </c>
      <c r="GKP19" s="173">
        <v>0.6</v>
      </c>
      <c r="GKQ19" s="174">
        <v>0.59</v>
      </c>
      <c r="GKR19" s="175">
        <v>0.59</v>
      </c>
      <c r="GKS19" s="175">
        <v>0.58</v>
      </c>
      <c r="GKT19" s="175">
        <v>0.57</v>
      </c>
      <c r="GKU19" s="175">
        <v>0.55</v>
      </c>
      <c r="GKV19" s="175">
        <v>0.53</v>
      </c>
      <c r="GKW19" s="157" t="s">
        <v>67</v>
      </c>
      <c r="GKX19" s="157"/>
      <c r="GKY19" s="157"/>
      <c r="GKZ19" s="173">
        <v>0.62</v>
      </c>
      <c r="GLA19" s="173">
        <v>0.61</v>
      </c>
      <c r="GLB19" s="173">
        <v>0.61</v>
      </c>
      <c r="GLC19" s="173">
        <v>0.61</v>
      </c>
      <c r="GLD19" s="173">
        <v>0.6</v>
      </c>
      <c r="GLE19" s="174">
        <v>0.6</v>
      </c>
      <c r="GLF19" s="173">
        <v>0.6</v>
      </c>
      <c r="GLG19" s="174">
        <v>0.59</v>
      </c>
      <c r="GLH19" s="175">
        <v>0.59</v>
      </c>
      <c r="GLI19" s="175">
        <v>0.58</v>
      </c>
      <c r="GLJ19" s="175">
        <v>0.57</v>
      </c>
      <c r="GLK19" s="175">
        <v>0.55</v>
      </c>
      <c r="GLL19" s="175">
        <v>0.53</v>
      </c>
      <c r="GLM19" s="157" t="s">
        <v>67</v>
      </c>
      <c r="GLN19" s="157"/>
      <c r="GLO19" s="157"/>
      <c r="GLP19" s="173">
        <v>0.62</v>
      </c>
      <c r="GLQ19" s="173">
        <v>0.61</v>
      </c>
      <c r="GLR19" s="173">
        <v>0.61</v>
      </c>
      <c r="GLS19" s="173">
        <v>0.61</v>
      </c>
      <c r="GLT19" s="173">
        <v>0.6</v>
      </c>
      <c r="GLU19" s="174">
        <v>0.6</v>
      </c>
      <c r="GLV19" s="173">
        <v>0.6</v>
      </c>
      <c r="GLW19" s="174">
        <v>0.59</v>
      </c>
      <c r="GLX19" s="175">
        <v>0.59</v>
      </c>
      <c r="GLY19" s="175">
        <v>0.58</v>
      </c>
      <c r="GLZ19" s="175">
        <v>0.57</v>
      </c>
      <c r="GMA19" s="175">
        <v>0.55</v>
      </c>
      <c r="GMB19" s="175">
        <v>0.53</v>
      </c>
      <c r="GMC19" s="157" t="s">
        <v>67</v>
      </c>
      <c r="GMD19" s="157"/>
      <c r="GME19" s="157"/>
      <c r="GMF19" s="173">
        <v>0.62</v>
      </c>
      <c r="GMG19" s="173">
        <v>0.61</v>
      </c>
      <c r="GMH19" s="173">
        <v>0.61</v>
      </c>
      <c r="GMI19" s="173">
        <v>0.61</v>
      </c>
      <c r="GMJ19" s="173">
        <v>0.6</v>
      </c>
      <c r="GMK19" s="174">
        <v>0.6</v>
      </c>
      <c r="GML19" s="173">
        <v>0.6</v>
      </c>
      <c r="GMM19" s="174">
        <v>0.59</v>
      </c>
      <c r="GMN19" s="175">
        <v>0.59</v>
      </c>
      <c r="GMO19" s="175">
        <v>0.58</v>
      </c>
      <c r="GMP19" s="175">
        <v>0.57</v>
      </c>
      <c r="GMQ19" s="175">
        <v>0.55</v>
      </c>
      <c r="GMR19" s="175">
        <v>0.53</v>
      </c>
      <c r="GMS19" s="157" t="s">
        <v>67</v>
      </c>
      <c r="GMT19" s="157"/>
      <c r="GMU19" s="157"/>
      <c r="GMV19" s="173">
        <v>0.62</v>
      </c>
      <c r="GMW19" s="173">
        <v>0.61</v>
      </c>
      <c r="GMX19" s="173">
        <v>0.61</v>
      </c>
      <c r="GMY19" s="173">
        <v>0.61</v>
      </c>
      <c r="GMZ19" s="173">
        <v>0.6</v>
      </c>
      <c r="GNA19" s="174">
        <v>0.6</v>
      </c>
      <c r="GNB19" s="173">
        <v>0.6</v>
      </c>
      <c r="GNC19" s="174">
        <v>0.59</v>
      </c>
      <c r="GND19" s="175">
        <v>0.59</v>
      </c>
      <c r="GNE19" s="175">
        <v>0.58</v>
      </c>
      <c r="GNF19" s="175">
        <v>0.57</v>
      </c>
      <c r="GNG19" s="175">
        <v>0.55</v>
      </c>
      <c r="GNH19" s="175">
        <v>0.53</v>
      </c>
      <c r="GNI19" s="157" t="s">
        <v>67</v>
      </c>
      <c r="GNJ19" s="157"/>
      <c r="GNK19" s="157"/>
      <c r="GNL19" s="173">
        <v>0.62</v>
      </c>
      <c r="GNM19" s="173">
        <v>0.61</v>
      </c>
      <c r="GNN19" s="173">
        <v>0.61</v>
      </c>
      <c r="GNO19" s="173">
        <v>0.61</v>
      </c>
      <c r="GNP19" s="173">
        <v>0.6</v>
      </c>
      <c r="GNQ19" s="174">
        <v>0.6</v>
      </c>
      <c r="GNR19" s="173">
        <v>0.6</v>
      </c>
      <c r="GNS19" s="174">
        <v>0.59</v>
      </c>
      <c r="GNT19" s="175">
        <v>0.59</v>
      </c>
      <c r="GNU19" s="175">
        <v>0.58</v>
      </c>
      <c r="GNV19" s="175">
        <v>0.57</v>
      </c>
      <c r="GNW19" s="175">
        <v>0.55</v>
      </c>
      <c r="GNX19" s="175">
        <v>0.53</v>
      </c>
      <c r="GNY19" s="157" t="s">
        <v>67</v>
      </c>
      <c r="GNZ19" s="157"/>
      <c r="GOA19" s="157"/>
      <c r="GOB19" s="173">
        <v>0.62</v>
      </c>
      <c r="GOC19" s="173">
        <v>0.61</v>
      </c>
      <c r="GOD19" s="173">
        <v>0.61</v>
      </c>
      <c r="GOE19" s="173">
        <v>0.61</v>
      </c>
      <c r="GOF19" s="173">
        <v>0.6</v>
      </c>
      <c r="GOG19" s="174">
        <v>0.6</v>
      </c>
      <c r="GOH19" s="173">
        <v>0.6</v>
      </c>
      <c r="GOI19" s="174">
        <v>0.59</v>
      </c>
      <c r="GOJ19" s="175">
        <v>0.59</v>
      </c>
      <c r="GOK19" s="175">
        <v>0.58</v>
      </c>
      <c r="GOL19" s="175">
        <v>0.57</v>
      </c>
      <c r="GOM19" s="175">
        <v>0.55</v>
      </c>
      <c r="GON19" s="175">
        <v>0.53</v>
      </c>
      <c r="GOO19" s="157" t="s">
        <v>67</v>
      </c>
      <c r="GOP19" s="157"/>
      <c r="GOQ19" s="157"/>
      <c r="GOR19" s="173">
        <v>0.62</v>
      </c>
      <c r="GOS19" s="173">
        <v>0.61</v>
      </c>
      <c r="GOT19" s="173">
        <v>0.61</v>
      </c>
      <c r="GOU19" s="173">
        <v>0.61</v>
      </c>
      <c r="GOV19" s="173">
        <v>0.6</v>
      </c>
      <c r="GOW19" s="174">
        <v>0.6</v>
      </c>
      <c r="GOX19" s="173">
        <v>0.6</v>
      </c>
      <c r="GOY19" s="174">
        <v>0.59</v>
      </c>
      <c r="GOZ19" s="175">
        <v>0.59</v>
      </c>
      <c r="GPA19" s="175">
        <v>0.58</v>
      </c>
      <c r="GPB19" s="175">
        <v>0.57</v>
      </c>
      <c r="GPC19" s="175">
        <v>0.55</v>
      </c>
      <c r="GPD19" s="175">
        <v>0.53</v>
      </c>
      <c r="GPE19" s="157" t="s">
        <v>67</v>
      </c>
      <c r="GPF19" s="157"/>
      <c r="GPG19" s="157"/>
      <c r="GPH19" s="173">
        <v>0.62</v>
      </c>
      <c r="GPI19" s="173">
        <v>0.61</v>
      </c>
      <c r="GPJ19" s="173">
        <v>0.61</v>
      </c>
      <c r="GPK19" s="173">
        <v>0.61</v>
      </c>
      <c r="GPL19" s="173">
        <v>0.6</v>
      </c>
      <c r="GPM19" s="174">
        <v>0.6</v>
      </c>
      <c r="GPN19" s="173">
        <v>0.6</v>
      </c>
      <c r="GPO19" s="174">
        <v>0.59</v>
      </c>
      <c r="GPP19" s="175">
        <v>0.59</v>
      </c>
      <c r="GPQ19" s="175">
        <v>0.58</v>
      </c>
      <c r="GPR19" s="175">
        <v>0.57</v>
      </c>
      <c r="GPS19" s="175">
        <v>0.55</v>
      </c>
      <c r="GPT19" s="175">
        <v>0.53</v>
      </c>
      <c r="GPU19" s="157" t="s">
        <v>67</v>
      </c>
      <c r="GPV19" s="157"/>
      <c r="GPW19" s="157"/>
      <c r="GPX19" s="173">
        <v>0.62</v>
      </c>
      <c r="GPY19" s="173">
        <v>0.61</v>
      </c>
      <c r="GPZ19" s="173">
        <v>0.61</v>
      </c>
      <c r="GQA19" s="173">
        <v>0.61</v>
      </c>
      <c r="GQB19" s="173">
        <v>0.6</v>
      </c>
      <c r="GQC19" s="174">
        <v>0.6</v>
      </c>
      <c r="GQD19" s="173">
        <v>0.6</v>
      </c>
      <c r="GQE19" s="174">
        <v>0.59</v>
      </c>
      <c r="GQF19" s="175">
        <v>0.59</v>
      </c>
      <c r="GQG19" s="175">
        <v>0.58</v>
      </c>
      <c r="GQH19" s="175">
        <v>0.57</v>
      </c>
      <c r="GQI19" s="175">
        <v>0.55</v>
      </c>
      <c r="GQJ19" s="175">
        <v>0.53</v>
      </c>
      <c r="GQK19" s="157" t="s">
        <v>67</v>
      </c>
      <c r="GQL19" s="157"/>
      <c r="GQM19" s="157"/>
      <c r="GQN19" s="173">
        <v>0.62</v>
      </c>
      <c r="GQO19" s="173">
        <v>0.61</v>
      </c>
      <c r="GQP19" s="173">
        <v>0.61</v>
      </c>
      <c r="GQQ19" s="173">
        <v>0.61</v>
      </c>
      <c r="GQR19" s="173">
        <v>0.6</v>
      </c>
      <c r="GQS19" s="174">
        <v>0.6</v>
      </c>
      <c r="GQT19" s="173">
        <v>0.6</v>
      </c>
      <c r="GQU19" s="174">
        <v>0.59</v>
      </c>
      <c r="GQV19" s="175">
        <v>0.59</v>
      </c>
      <c r="GQW19" s="175">
        <v>0.58</v>
      </c>
      <c r="GQX19" s="175">
        <v>0.57</v>
      </c>
      <c r="GQY19" s="175">
        <v>0.55</v>
      </c>
      <c r="GQZ19" s="175">
        <v>0.53</v>
      </c>
      <c r="GRA19" s="157" t="s">
        <v>67</v>
      </c>
      <c r="GRB19" s="157"/>
      <c r="GRC19" s="157"/>
      <c r="GRD19" s="173">
        <v>0.62</v>
      </c>
      <c r="GRE19" s="173">
        <v>0.61</v>
      </c>
      <c r="GRF19" s="173">
        <v>0.61</v>
      </c>
      <c r="GRG19" s="173">
        <v>0.61</v>
      </c>
      <c r="GRH19" s="173">
        <v>0.6</v>
      </c>
      <c r="GRI19" s="174">
        <v>0.6</v>
      </c>
      <c r="GRJ19" s="173">
        <v>0.6</v>
      </c>
      <c r="GRK19" s="174">
        <v>0.59</v>
      </c>
      <c r="GRL19" s="175">
        <v>0.59</v>
      </c>
      <c r="GRM19" s="175">
        <v>0.58</v>
      </c>
      <c r="GRN19" s="175">
        <v>0.57</v>
      </c>
      <c r="GRO19" s="175">
        <v>0.55</v>
      </c>
      <c r="GRP19" s="175">
        <v>0.53</v>
      </c>
      <c r="GRQ19" s="157" t="s">
        <v>67</v>
      </c>
      <c r="GRR19" s="157"/>
      <c r="GRS19" s="157"/>
      <c r="GRT19" s="173">
        <v>0.62</v>
      </c>
      <c r="GRU19" s="173">
        <v>0.61</v>
      </c>
      <c r="GRV19" s="173">
        <v>0.61</v>
      </c>
      <c r="GRW19" s="173">
        <v>0.61</v>
      </c>
      <c r="GRX19" s="173">
        <v>0.6</v>
      </c>
      <c r="GRY19" s="174">
        <v>0.6</v>
      </c>
      <c r="GRZ19" s="173">
        <v>0.6</v>
      </c>
      <c r="GSA19" s="174">
        <v>0.59</v>
      </c>
      <c r="GSB19" s="175">
        <v>0.59</v>
      </c>
      <c r="GSC19" s="175">
        <v>0.58</v>
      </c>
      <c r="GSD19" s="175">
        <v>0.57</v>
      </c>
      <c r="GSE19" s="175">
        <v>0.55</v>
      </c>
      <c r="GSF19" s="175">
        <v>0.53</v>
      </c>
      <c r="GSG19" s="157" t="s">
        <v>67</v>
      </c>
      <c r="GSH19" s="157"/>
      <c r="GSI19" s="157"/>
      <c r="GSJ19" s="173">
        <v>0.62</v>
      </c>
      <c r="GSK19" s="173">
        <v>0.61</v>
      </c>
      <c r="GSL19" s="173">
        <v>0.61</v>
      </c>
      <c r="GSM19" s="173">
        <v>0.61</v>
      </c>
      <c r="GSN19" s="173">
        <v>0.6</v>
      </c>
      <c r="GSO19" s="174">
        <v>0.6</v>
      </c>
      <c r="GSP19" s="173">
        <v>0.6</v>
      </c>
      <c r="GSQ19" s="174">
        <v>0.59</v>
      </c>
      <c r="GSR19" s="175">
        <v>0.59</v>
      </c>
      <c r="GSS19" s="175">
        <v>0.58</v>
      </c>
      <c r="GST19" s="175">
        <v>0.57</v>
      </c>
      <c r="GSU19" s="175">
        <v>0.55</v>
      </c>
      <c r="GSV19" s="175">
        <v>0.53</v>
      </c>
      <c r="GSW19" s="157" t="s">
        <v>67</v>
      </c>
      <c r="GSX19" s="157"/>
      <c r="GSY19" s="157"/>
      <c r="GSZ19" s="173">
        <v>0.62</v>
      </c>
      <c r="GTA19" s="173">
        <v>0.61</v>
      </c>
      <c r="GTB19" s="173">
        <v>0.61</v>
      </c>
      <c r="GTC19" s="173">
        <v>0.61</v>
      </c>
      <c r="GTD19" s="173">
        <v>0.6</v>
      </c>
      <c r="GTE19" s="174">
        <v>0.6</v>
      </c>
      <c r="GTF19" s="173">
        <v>0.6</v>
      </c>
      <c r="GTG19" s="174">
        <v>0.59</v>
      </c>
      <c r="GTH19" s="175">
        <v>0.59</v>
      </c>
      <c r="GTI19" s="175">
        <v>0.58</v>
      </c>
      <c r="GTJ19" s="175">
        <v>0.57</v>
      </c>
      <c r="GTK19" s="175">
        <v>0.55</v>
      </c>
      <c r="GTL19" s="175">
        <v>0.53</v>
      </c>
      <c r="GTM19" s="157" t="s">
        <v>67</v>
      </c>
      <c r="GTN19" s="157"/>
      <c r="GTO19" s="157"/>
      <c r="GTP19" s="173">
        <v>0.62</v>
      </c>
      <c r="GTQ19" s="173">
        <v>0.61</v>
      </c>
      <c r="GTR19" s="173">
        <v>0.61</v>
      </c>
      <c r="GTS19" s="173">
        <v>0.61</v>
      </c>
      <c r="GTT19" s="173">
        <v>0.6</v>
      </c>
      <c r="GTU19" s="174">
        <v>0.6</v>
      </c>
      <c r="GTV19" s="173">
        <v>0.6</v>
      </c>
      <c r="GTW19" s="174">
        <v>0.59</v>
      </c>
      <c r="GTX19" s="175">
        <v>0.59</v>
      </c>
      <c r="GTY19" s="175">
        <v>0.58</v>
      </c>
      <c r="GTZ19" s="175">
        <v>0.57</v>
      </c>
      <c r="GUA19" s="175">
        <v>0.55</v>
      </c>
      <c r="GUB19" s="175">
        <v>0.53</v>
      </c>
      <c r="GUC19" s="157" t="s">
        <v>67</v>
      </c>
      <c r="GUD19" s="157"/>
      <c r="GUE19" s="157"/>
      <c r="GUF19" s="173">
        <v>0.62</v>
      </c>
      <c r="GUG19" s="173">
        <v>0.61</v>
      </c>
      <c r="GUH19" s="173">
        <v>0.61</v>
      </c>
      <c r="GUI19" s="173">
        <v>0.61</v>
      </c>
      <c r="GUJ19" s="173">
        <v>0.6</v>
      </c>
      <c r="GUK19" s="174">
        <v>0.6</v>
      </c>
      <c r="GUL19" s="173">
        <v>0.6</v>
      </c>
      <c r="GUM19" s="174">
        <v>0.59</v>
      </c>
      <c r="GUN19" s="175">
        <v>0.59</v>
      </c>
      <c r="GUO19" s="175">
        <v>0.58</v>
      </c>
      <c r="GUP19" s="175">
        <v>0.57</v>
      </c>
      <c r="GUQ19" s="175">
        <v>0.55</v>
      </c>
      <c r="GUR19" s="175">
        <v>0.53</v>
      </c>
      <c r="GUS19" s="157" t="s">
        <v>67</v>
      </c>
      <c r="GUT19" s="157"/>
      <c r="GUU19" s="157"/>
      <c r="GUV19" s="173">
        <v>0.62</v>
      </c>
      <c r="GUW19" s="173">
        <v>0.61</v>
      </c>
      <c r="GUX19" s="173">
        <v>0.61</v>
      </c>
      <c r="GUY19" s="173">
        <v>0.61</v>
      </c>
      <c r="GUZ19" s="173">
        <v>0.6</v>
      </c>
      <c r="GVA19" s="174">
        <v>0.6</v>
      </c>
      <c r="GVB19" s="173">
        <v>0.6</v>
      </c>
      <c r="GVC19" s="174">
        <v>0.59</v>
      </c>
      <c r="GVD19" s="175">
        <v>0.59</v>
      </c>
      <c r="GVE19" s="175">
        <v>0.58</v>
      </c>
      <c r="GVF19" s="175">
        <v>0.57</v>
      </c>
      <c r="GVG19" s="175">
        <v>0.55</v>
      </c>
      <c r="GVH19" s="175">
        <v>0.53</v>
      </c>
      <c r="GVI19" s="157" t="s">
        <v>67</v>
      </c>
      <c r="GVJ19" s="157"/>
      <c r="GVK19" s="157"/>
      <c r="GVL19" s="173">
        <v>0.62</v>
      </c>
      <c r="GVM19" s="173">
        <v>0.61</v>
      </c>
      <c r="GVN19" s="173">
        <v>0.61</v>
      </c>
      <c r="GVO19" s="173">
        <v>0.61</v>
      </c>
      <c r="GVP19" s="173">
        <v>0.6</v>
      </c>
      <c r="GVQ19" s="174">
        <v>0.6</v>
      </c>
      <c r="GVR19" s="173">
        <v>0.6</v>
      </c>
      <c r="GVS19" s="174">
        <v>0.59</v>
      </c>
      <c r="GVT19" s="175">
        <v>0.59</v>
      </c>
      <c r="GVU19" s="175">
        <v>0.58</v>
      </c>
      <c r="GVV19" s="175">
        <v>0.57</v>
      </c>
      <c r="GVW19" s="175">
        <v>0.55</v>
      </c>
      <c r="GVX19" s="175">
        <v>0.53</v>
      </c>
      <c r="GVY19" s="157" t="s">
        <v>67</v>
      </c>
      <c r="GVZ19" s="157"/>
      <c r="GWA19" s="157"/>
      <c r="GWB19" s="173">
        <v>0.62</v>
      </c>
      <c r="GWC19" s="173">
        <v>0.61</v>
      </c>
      <c r="GWD19" s="173">
        <v>0.61</v>
      </c>
      <c r="GWE19" s="173">
        <v>0.61</v>
      </c>
      <c r="GWF19" s="173">
        <v>0.6</v>
      </c>
      <c r="GWG19" s="174">
        <v>0.6</v>
      </c>
      <c r="GWH19" s="173">
        <v>0.6</v>
      </c>
      <c r="GWI19" s="174">
        <v>0.59</v>
      </c>
      <c r="GWJ19" s="175">
        <v>0.59</v>
      </c>
      <c r="GWK19" s="175">
        <v>0.58</v>
      </c>
      <c r="GWL19" s="175">
        <v>0.57</v>
      </c>
      <c r="GWM19" s="175">
        <v>0.55</v>
      </c>
      <c r="GWN19" s="175">
        <v>0.53</v>
      </c>
      <c r="GWO19" s="157" t="s">
        <v>67</v>
      </c>
      <c r="GWP19" s="157"/>
      <c r="GWQ19" s="157"/>
      <c r="GWR19" s="173">
        <v>0.62</v>
      </c>
      <c r="GWS19" s="173">
        <v>0.61</v>
      </c>
      <c r="GWT19" s="173">
        <v>0.61</v>
      </c>
      <c r="GWU19" s="173">
        <v>0.61</v>
      </c>
      <c r="GWV19" s="173">
        <v>0.6</v>
      </c>
      <c r="GWW19" s="174">
        <v>0.6</v>
      </c>
      <c r="GWX19" s="173">
        <v>0.6</v>
      </c>
      <c r="GWY19" s="174">
        <v>0.59</v>
      </c>
      <c r="GWZ19" s="175">
        <v>0.59</v>
      </c>
      <c r="GXA19" s="175">
        <v>0.58</v>
      </c>
      <c r="GXB19" s="175">
        <v>0.57</v>
      </c>
      <c r="GXC19" s="175">
        <v>0.55</v>
      </c>
      <c r="GXD19" s="175">
        <v>0.53</v>
      </c>
      <c r="GXE19" s="157" t="s">
        <v>67</v>
      </c>
      <c r="GXF19" s="157"/>
      <c r="GXG19" s="157"/>
      <c r="GXH19" s="173">
        <v>0.62</v>
      </c>
      <c r="GXI19" s="173">
        <v>0.61</v>
      </c>
      <c r="GXJ19" s="173">
        <v>0.61</v>
      </c>
      <c r="GXK19" s="173">
        <v>0.61</v>
      </c>
      <c r="GXL19" s="173">
        <v>0.6</v>
      </c>
      <c r="GXM19" s="174">
        <v>0.6</v>
      </c>
      <c r="GXN19" s="173">
        <v>0.6</v>
      </c>
      <c r="GXO19" s="174">
        <v>0.59</v>
      </c>
      <c r="GXP19" s="175">
        <v>0.59</v>
      </c>
      <c r="GXQ19" s="175">
        <v>0.58</v>
      </c>
      <c r="GXR19" s="175">
        <v>0.57</v>
      </c>
      <c r="GXS19" s="175">
        <v>0.55</v>
      </c>
      <c r="GXT19" s="175">
        <v>0.53</v>
      </c>
      <c r="GXU19" s="157" t="s">
        <v>67</v>
      </c>
      <c r="GXV19" s="157"/>
      <c r="GXW19" s="157"/>
      <c r="GXX19" s="173">
        <v>0.62</v>
      </c>
      <c r="GXY19" s="173">
        <v>0.61</v>
      </c>
      <c r="GXZ19" s="173">
        <v>0.61</v>
      </c>
      <c r="GYA19" s="173">
        <v>0.61</v>
      </c>
      <c r="GYB19" s="173">
        <v>0.6</v>
      </c>
      <c r="GYC19" s="174">
        <v>0.6</v>
      </c>
      <c r="GYD19" s="173">
        <v>0.6</v>
      </c>
      <c r="GYE19" s="174">
        <v>0.59</v>
      </c>
      <c r="GYF19" s="175">
        <v>0.59</v>
      </c>
      <c r="GYG19" s="175">
        <v>0.58</v>
      </c>
      <c r="GYH19" s="175">
        <v>0.57</v>
      </c>
      <c r="GYI19" s="175">
        <v>0.55</v>
      </c>
      <c r="GYJ19" s="175">
        <v>0.53</v>
      </c>
      <c r="GYK19" s="157" t="s">
        <v>67</v>
      </c>
      <c r="GYL19" s="157"/>
      <c r="GYM19" s="157"/>
      <c r="GYN19" s="173">
        <v>0.62</v>
      </c>
      <c r="GYO19" s="173">
        <v>0.61</v>
      </c>
      <c r="GYP19" s="173">
        <v>0.61</v>
      </c>
      <c r="GYQ19" s="173">
        <v>0.61</v>
      </c>
      <c r="GYR19" s="173">
        <v>0.6</v>
      </c>
      <c r="GYS19" s="174">
        <v>0.6</v>
      </c>
      <c r="GYT19" s="173">
        <v>0.6</v>
      </c>
      <c r="GYU19" s="174">
        <v>0.59</v>
      </c>
      <c r="GYV19" s="175">
        <v>0.59</v>
      </c>
      <c r="GYW19" s="175">
        <v>0.58</v>
      </c>
      <c r="GYX19" s="175">
        <v>0.57</v>
      </c>
      <c r="GYY19" s="175">
        <v>0.55</v>
      </c>
      <c r="GYZ19" s="175">
        <v>0.53</v>
      </c>
      <c r="GZA19" s="157" t="s">
        <v>67</v>
      </c>
      <c r="GZB19" s="157"/>
      <c r="GZC19" s="157"/>
      <c r="GZD19" s="173">
        <v>0.62</v>
      </c>
      <c r="GZE19" s="173">
        <v>0.61</v>
      </c>
      <c r="GZF19" s="173">
        <v>0.61</v>
      </c>
      <c r="GZG19" s="173">
        <v>0.61</v>
      </c>
      <c r="GZH19" s="173">
        <v>0.6</v>
      </c>
      <c r="GZI19" s="174">
        <v>0.6</v>
      </c>
      <c r="GZJ19" s="173">
        <v>0.6</v>
      </c>
      <c r="GZK19" s="174">
        <v>0.59</v>
      </c>
      <c r="GZL19" s="175">
        <v>0.59</v>
      </c>
      <c r="GZM19" s="175">
        <v>0.58</v>
      </c>
      <c r="GZN19" s="175">
        <v>0.57</v>
      </c>
      <c r="GZO19" s="175">
        <v>0.55</v>
      </c>
      <c r="GZP19" s="175">
        <v>0.53</v>
      </c>
      <c r="GZQ19" s="157" t="s">
        <v>67</v>
      </c>
      <c r="GZR19" s="157"/>
      <c r="GZS19" s="157"/>
      <c r="GZT19" s="173">
        <v>0.62</v>
      </c>
      <c r="GZU19" s="173">
        <v>0.61</v>
      </c>
      <c r="GZV19" s="173">
        <v>0.61</v>
      </c>
      <c r="GZW19" s="173">
        <v>0.61</v>
      </c>
      <c r="GZX19" s="173">
        <v>0.6</v>
      </c>
      <c r="GZY19" s="174">
        <v>0.6</v>
      </c>
      <c r="GZZ19" s="173">
        <v>0.6</v>
      </c>
      <c r="HAA19" s="174">
        <v>0.59</v>
      </c>
      <c r="HAB19" s="175">
        <v>0.59</v>
      </c>
      <c r="HAC19" s="175">
        <v>0.58</v>
      </c>
      <c r="HAD19" s="175">
        <v>0.57</v>
      </c>
      <c r="HAE19" s="175">
        <v>0.55</v>
      </c>
      <c r="HAF19" s="175">
        <v>0.53</v>
      </c>
      <c r="HAG19" s="157" t="s">
        <v>67</v>
      </c>
      <c r="HAH19" s="157"/>
      <c r="HAI19" s="157"/>
      <c r="HAJ19" s="173">
        <v>0.62</v>
      </c>
      <c r="HAK19" s="173">
        <v>0.61</v>
      </c>
      <c r="HAL19" s="173">
        <v>0.61</v>
      </c>
      <c r="HAM19" s="173">
        <v>0.61</v>
      </c>
      <c r="HAN19" s="173">
        <v>0.6</v>
      </c>
      <c r="HAO19" s="174">
        <v>0.6</v>
      </c>
      <c r="HAP19" s="173">
        <v>0.6</v>
      </c>
      <c r="HAQ19" s="174">
        <v>0.59</v>
      </c>
      <c r="HAR19" s="175">
        <v>0.59</v>
      </c>
      <c r="HAS19" s="175">
        <v>0.58</v>
      </c>
      <c r="HAT19" s="175">
        <v>0.57</v>
      </c>
      <c r="HAU19" s="175">
        <v>0.55</v>
      </c>
      <c r="HAV19" s="175">
        <v>0.53</v>
      </c>
      <c r="HAW19" s="157" t="s">
        <v>67</v>
      </c>
      <c r="HAX19" s="157"/>
      <c r="HAY19" s="157"/>
      <c r="HAZ19" s="173">
        <v>0.62</v>
      </c>
      <c r="HBA19" s="173">
        <v>0.61</v>
      </c>
      <c r="HBB19" s="173">
        <v>0.61</v>
      </c>
      <c r="HBC19" s="173">
        <v>0.61</v>
      </c>
      <c r="HBD19" s="173">
        <v>0.6</v>
      </c>
      <c r="HBE19" s="174">
        <v>0.6</v>
      </c>
      <c r="HBF19" s="173">
        <v>0.6</v>
      </c>
      <c r="HBG19" s="174">
        <v>0.59</v>
      </c>
      <c r="HBH19" s="175">
        <v>0.59</v>
      </c>
      <c r="HBI19" s="175">
        <v>0.58</v>
      </c>
      <c r="HBJ19" s="175">
        <v>0.57</v>
      </c>
      <c r="HBK19" s="175">
        <v>0.55</v>
      </c>
      <c r="HBL19" s="175">
        <v>0.53</v>
      </c>
      <c r="HBM19" s="157" t="s">
        <v>67</v>
      </c>
      <c r="HBN19" s="157"/>
      <c r="HBO19" s="157"/>
      <c r="HBP19" s="173">
        <v>0.62</v>
      </c>
      <c r="HBQ19" s="173">
        <v>0.61</v>
      </c>
      <c r="HBR19" s="173">
        <v>0.61</v>
      </c>
      <c r="HBS19" s="173">
        <v>0.61</v>
      </c>
      <c r="HBT19" s="173">
        <v>0.6</v>
      </c>
      <c r="HBU19" s="174">
        <v>0.6</v>
      </c>
      <c r="HBV19" s="173">
        <v>0.6</v>
      </c>
      <c r="HBW19" s="174">
        <v>0.59</v>
      </c>
      <c r="HBX19" s="175">
        <v>0.59</v>
      </c>
      <c r="HBY19" s="175">
        <v>0.58</v>
      </c>
      <c r="HBZ19" s="175">
        <v>0.57</v>
      </c>
      <c r="HCA19" s="175">
        <v>0.55</v>
      </c>
      <c r="HCB19" s="175">
        <v>0.53</v>
      </c>
      <c r="HCC19" s="157" t="s">
        <v>67</v>
      </c>
      <c r="HCD19" s="157"/>
      <c r="HCE19" s="157"/>
      <c r="HCF19" s="173">
        <v>0.62</v>
      </c>
      <c r="HCG19" s="173">
        <v>0.61</v>
      </c>
      <c r="HCH19" s="173">
        <v>0.61</v>
      </c>
      <c r="HCI19" s="173">
        <v>0.61</v>
      </c>
      <c r="HCJ19" s="173">
        <v>0.6</v>
      </c>
      <c r="HCK19" s="174">
        <v>0.6</v>
      </c>
      <c r="HCL19" s="173">
        <v>0.6</v>
      </c>
      <c r="HCM19" s="174">
        <v>0.59</v>
      </c>
      <c r="HCN19" s="175">
        <v>0.59</v>
      </c>
      <c r="HCO19" s="175">
        <v>0.58</v>
      </c>
      <c r="HCP19" s="175">
        <v>0.57</v>
      </c>
      <c r="HCQ19" s="175">
        <v>0.55</v>
      </c>
      <c r="HCR19" s="175">
        <v>0.53</v>
      </c>
      <c r="HCS19" s="157" t="s">
        <v>67</v>
      </c>
      <c r="HCT19" s="157"/>
      <c r="HCU19" s="157"/>
      <c r="HCV19" s="173">
        <v>0.62</v>
      </c>
      <c r="HCW19" s="173">
        <v>0.61</v>
      </c>
      <c r="HCX19" s="173">
        <v>0.61</v>
      </c>
      <c r="HCY19" s="173">
        <v>0.61</v>
      </c>
      <c r="HCZ19" s="173">
        <v>0.6</v>
      </c>
      <c r="HDA19" s="174">
        <v>0.6</v>
      </c>
      <c r="HDB19" s="173">
        <v>0.6</v>
      </c>
      <c r="HDC19" s="174">
        <v>0.59</v>
      </c>
      <c r="HDD19" s="175">
        <v>0.59</v>
      </c>
      <c r="HDE19" s="175">
        <v>0.58</v>
      </c>
      <c r="HDF19" s="175">
        <v>0.57</v>
      </c>
      <c r="HDG19" s="175">
        <v>0.55</v>
      </c>
      <c r="HDH19" s="175">
        <v>0.53</v>
      </c>
      <c r="HDI19" s="157" t="s">
        <v>67</v>
      </c>
      <c r="HDJ19" s="157"/>
      <c r="HDK19" s="157"/>
      <c r="HDL19" s="173">
        <v>0.62</v>
      </c>
      <c r="HDM19" s="173">
        <v>0.61</v>
      </c>
      <c r="HDN19" s="173">
        <v>0.61</v>
      </c>
      <c r="HDO19" s="173">
        <v>0.61</v>
      </c>
      <c r="HDP19" s="173">
        <v>0.6</v>
      </c>
      <c r="HDQ19" s="174">
        <v>0.6</v>
      </c>
      <c r="HDR19" s="173">
        <v>0.6</v>
      </c>
      <c r="HDS19" s="174">
        <v>0.59</v>
      </c>
      <c r="HDT19" s="175">
        <v>0.59</v>
      </c>
      <c r="HDU19" s="175">
        <v>0.58</v>
      </c>
      <c r="HDV19" s="175">
        <v>0.57</v>
      </c>
      <c r="HDW19" s="175">
        <v>0.55</v>
      </c>
      <c r="HDX19" s="175">
        <v>0.53</v>
      </c>
      <c r="HDY19" s="157" t="s">
        <v>67</v>
      </c>
      <c r="HDZ19" s="157"/>
      <c r="HEA19" s="157"/>
      <c r="HEB19" s="173">
        <v>0.62</v>
      </c>
      <c r="HEC19" s="173">
        <v>0.61</v>
      </c>
      <c r="HED19" s="173">
        <v>0.61</v>
      </c>
      <c r="HEE19" s="173">
        <v>0.61</v>
      </c>
      <c r="HEF19" s="173">
        <v>0.6</v>
      </c>
      <c r="HEG19" s="174">
        <v>0.6</v>
      </c>
      <c r="HEH19" s="173">
        <v>0.6</v>
      </c>
      <c r="HEI19" s="174">
        <v>0.59</v>
      </c>
      <c r="HEJ19" s="175">
        <v>0.59</v>
      </c>
      <c r="HEK19" s="175">
        <v>0.58</v>
      </c>
      <c r="HEL19" s="175">
        <v>0.57</v>
      </c>
      <c r="HEM19" s="175">
        <v>0.55</v>
      </c>
      <c r="HEN19" s="175">
        <v>0.53</v>
      </c>
      <c r="HEO19" s="157" t="s">
        <v>67</v>
      </c>
      <c r="HEP19" s="157"/>
      <c r="HEQ19" s="157"/>
      <c r="HER19" s="173">
        <v>0.62</v>
      </c>
      <c r="HES19" s="173">
        <v>0.61</v>
      </c>
      <c r="HET19" s="173">
        <v>0.61</v>
      </c>
      <c r="HEU19" s="173">
        <v>0.61</v>
      </c>
      <c r="HEV19" s="173">
        <v>0.6</v>
      </c>
      <c r="HEW19" s="174">
        <v>0.6</v>
      </c>
      <c r="HEX19" s="173">
        <v>0.6</v>
      </c>
      <c r="HEY19" s="174">
        <v>0.59</v>
      </c>
      <c r="HEZ19" s="175">
        <v>0.59</v>
      </c>
      <c r="HFA19" s="175">
        <v>0.58</v>
      </c>
      <c r="HFB19" s="175">
        <v>0.57</v>
      </c>
      <c r="HFC19" s="175">
        <v>0.55</v>
      </c>
      <c r="HFD19" s="175">
        <v>0.53</v>
      </c>
      <c r="HFE19" s="157" t="s">
        <v>67</v>
      </c>
      <c r="HFF19" s="157"/>
      <c r="HFG19" s="157"/>
      <c r="HFH19" s="173">
        <v>0.62</v>
      </c>
      <c r="HFI19" s="173">
        <v>0.61</v>
      </c>
      <c r="HFJ19" s="173">
        <v>0.61</v>
      </c>
      <c r="HFK19" s="173">
        <v>0.61</v>
      </c>
      <c r="HFL19" s="173">
        <v>0.6</v>
      </c>
      <c r="HFM19" s="174">
        <v>0.6</v>
      </c>
      <c r="HFN19" s="173">
        <v>0.6</v>
      </c>
      <c r="HFO19" s="174">
        <v>0.59</v>
      </c>
      <c r="HFP19" s="175">
        <v>0.59</v>
      </c>
      <c r="HFQ19" s="175">
        <v>0.58</v>
      </c>
      <c r="HFR19" s="175">
        <v>0.57</v>
      </c>
      <c r="HFS19" s="175">
        <v>0.55</v>
      </c>
      <c r="HFT19" s="175">
        <v>0.53</v>
      </c>
      <c r="HFU19" s="157" t="s">
        <v>67</v>
      </c>
      <c r="HFV19" s="157"/>
      <c r="HFW19" s="157"/>
      <c r="HFX19" s="173">
        <v>0.62</v>
      </c>
      <c r="HFY19" s="173">
        <v>0.61</v>
      </c>
      <c r="HFZ19" s="173">
        <v>0.61</v>
      </c>
      <c r="HGA19" s="173">
        <v>0.61</v>
      </c>
      <c r="HGB19" s="173">
        <v>0.6</v>
      </c>
      <c r="HGC19" s="174">
        <v>0.6</v>
      </c>
      <c r="HGD19" s="173">
        <v>0.6</v>
      </c>
      <c r="HGE19" s="174">
        <v>0.59</v>
      </c>
      <c r="HGF19" s="175">
        <v>0.59</v>
      </c>
      <c r="HGG19" s="175">
        <v>0.58</v>
      </c>
      <c r="HGH19" s="175">
        <v>0.57</v>
      </c>
      <c r="HGI19" s="175">
        <v>0.55</v>
      </c>
      <c r="HGJ19" s="175">
        <v>0.53</v>
      </c>
      <c r="HGK19" s="157" t="s">
        <v>67</v>
      </c>
      <c r="HGL19" s="157"/>
      <c r="HGM19" s="157"/>
      <c r="HGN19" s="173">
        <v>0.62</v>
      </c>
      <c r="HGO19" s="173">
        <v>0.61</v>
      </c>
      <c r="HGP19" s="173">
        <v>0.61</v>
      </c>
      <c r="HGQ19" s="173">
        <v>0.61</v>
      </c>
      <c r="HGR19" s="173">
        <v>0.6</v>
      </c>
      <c r="HGS19" s="174">
        <v>0.6</v>
      </c>
      <c r="HGT19" s="173">
        <v>0.6</v>
      </c>
      <c r="HGU19" s="174">
        <v>0.59</v>
      </c>
      <c r="HGV19" s="175">
        <v>0.59</v>
      </c>
      <c r="HGW19" s="175">
        <v>0.58</v>
      </c>
      <c r="HGX19" s="175">
        <v>0.57</v>
      </c>
      <c r="HGY19" s="175">
        <v>0.55</v>
      </c>
      <c r="HGZ19" s="175">
        <v>0.53</v>
      </c>
      <c r="HHA19" s="157" t="s">
        <v>67</v>
      </c>
      <c r="HHB19" s="157"/>
      <c r="HHC19" s="157"/>
      <c r="HHD19" s="173">
        <v>0.62</v>
      </c>
      <c r="HHE19" s="173">
        <v>0.61</v>
      </c>
      <c r="HHF19" s="173">
        <v>0.61</v>
      </c>
      <c r="HHG19" s="173">
        <v>0.61</v>
      </c>
      <c r="HHH19" s="173">
        <v>0.6</v>
      </c>
      <c r="HHI19" s="174">
        <v>0.6</v>
      </c>
      <c r="HHJ19" s="173">
        <v>0.6</v>
      </c>
      <c r="HHK19" s="174">
        <v>0.59</v>
      </c>
      <c r="HHL19" s="175">
        <v>0.59</v>
      </c>
      <c r="HHM19" s="175">
        <v>0.58</v>
      </c>
      <c r="HHN19" s="175">
        <v>0.57</v>
      </c>
      <c r="HHO19" s="175">
        <v>0.55</v>
      </c>
      <c r="HHP19" s="175">
        <v>0.53</v>
      </c>
      <c r="HHQ19" s="157" t="s">
        <v>67</v>
      </c>
      <c r="HHR19" s="157"/>
      <c r="HHS19" s="157"/>
      <c r="HHT19" s="173">
        <v>0.62</v>
      </c>
      <c r="HHU19" s="173">
        <v>0.61</v>
      </c>
      <c r="HHV19" s="173">
        <v>0.61</v>
      </c>
      <c r="HHW19" s="173">
        <v>0.61</v>
      </c>
      <c r="HHX19" s="173">
        <v>0.6</v>
      </c>
      <c r="HHY19" s="174">
        <v>0.6</v>
      </c>
      <c r="HHZ19" s="173">
        <v>0.6</v>
      </c>
      <c r="HIA19" s="174">
        <v>0.59</v>
      </c>
      <c r="HIB19" s="175">
        <v>0.59</v>
      </c>
      <c r="HIC19" s="175">
        <v>0.58</v>
      </c>
      <c r="HID19" s="175">
        <v>0.57</v>
      </c>
      <c r="HIE19" s="175">
        <v>0.55</v>
      </c>
      <c r="HIF19" s="175">
        <v>0.53</v>
      </c>
      <c r="HIG19" s="157" t="s">
        <v>67</v>
      </c>
      <c r="HIH19" s="157"/>
      <c r="HII19" s="157"/>
      <c r="HIJ19" s="173">
        <v>0.62</v>
      </c>
      <c r="HIK19" s="173">
        <v>0.61</v>
      </c>
      <c r="HIL19" s="173">
        <v>0.61</v>
      </c>
      <c r="HIM19" s="173">
        <v>0.61</v>
      </c>
      <c r="HIN19" s="173">
        <v>0.6</v>
      </c>
      <c r="HIO19" s="174">
        <v>0.6</v>
      </c>
      <c r="HIP19" s="173">
        <v>0.6</v>
      </c>
      <c r="HIQ19" s="174">
        <v>0.59</v>
      </c>
      <c r="HIR19" s="175">
        <v>0.59</v>
      </c>
      <c r="HIS19" s="175">
        <v>0.58</v>
      </c>
      <c r="HIT19" s="175">
        <v>0.57</v>
      </c>
      <c r="HIU19" s="175">
        <v>0.55</v>
      </c>
      <c r="HIV19" s="175">
        <v>0.53</v>
      </c>
      <c r="HIW19" s="157" t="s">
        <v>67</v>
      </c>
      <c r="HIX19" s="157"/>
      <c r="HIY19" s="157"/>
      <c r="HIZ19" s="173">
        <v>0.62</v>
      </c>
      <c r="HJA19" s="173">
        <v>0.61</v>
      </c>
      <c r="HJB19" s="173">
        <v>0.61</v>
      </c>
      <c r="HJC19" s="173">
        <v>0.61</v>
      </c>
      <c r="HJD19" s="173">
        <v>0.6</v>
      </c>
      <c r="HJE19" s="174">
        <v>0.6</v>
      </c>
      <c r="HJF19" s="173">
        <v>0.6</v>
      </c>
      <c r="HJG19" s="174">
        <v>0.59</v>
      </c>
      <c r="HJH19" s="175">
        <v>0.59</v>
      </c>
      <c r="HJI19" s="175">
        <v>0.58</v>
      </c>
      <c r="HJJ19" s="175">
        <v>0.57</v>
      </c>
      <c r="HJK19" s="175">
        <v>0.55</v>
      </c>
      <c r="HJL19" s="175">
        <v>0.53</v>
      </c>
      <c r="HJM19" s="157" t="s">
        <v>67</v>
      </c>
      <c r="HJN19" s="157"/>
      <c r="HJO19" s="157"/>
      <c r="HJP19" s="173">
        <v>0.62</v>
      </c>
      <c r="HJQ19" s="173">
        <v>0.61</v>
      </c>
      <c r="HJR19" s="173">
        <v>0.61</v>
      </c>
      <c r="HJS19" s="173">
        <v>0.61</v>
      </c>
      <c r="HJT19" s="173">
        <v>0.6</v>
      </c>
      <c r="HJU19" s="174">
        <v>0.6</v>
      </c>
      <c r="HJV19" s="173">
        <v>0.6</v>
      </c>
      <c r="HJW19" s="174">
        <v>0.59</v>
      </c>
      <c r="HJX19" s="175">
        <v>0.59</v>
      </c>
      <c r="HJY19" s="175">
        <v>0.58</v>
      </c>
      <c r="HJZ19" s="175">
        <v>0.57</v>
      </c>
      <c r="HKA19" s="175">
        <v>0.55</v>
      </c>
      <c r="HKB19" s="175">
        <v>0.53</v>
      </c>
      <c r="HKC19" s="157" t="s">
        <v>67</v>
      </c>
      <c r="HKD19" s="157"/>
      <c r="HKE19" s="157"/>
      <c r="HKF19" s="173">
        <v>0.62</v>
      </c>
      <c r="HKG19" s="173">
        <v>0.61</v>
      </c>
      <c r="HKH19" s="173">
        <v>0.61</v>
      </c>
      <c r="HKI19" s="173">
        <v>0.61</v>
      </c>
      <c r="HKJ19" s="173">
        <v>0.6</v>
      </c>
      <c r="HKK19" s="174">
        <v>0.6</v>
      </c>
      <c r="HKL19" s="173">
        <v>0.6</v>
      </c>
      <c r="HKM19" s="174">
        <v>0.59</v>
      </c>
      <c r="HKN19" s="175">
        <v>0.59</v>
      </c>
      <c r="HKO19" s="175">
        <v>0.58</v>
      </c>
      <c r="HKP19" s="175">
        <v>0.57</v>
      </c>
      <c r="HKQ19" s="175">
        <v>0.55</v>
      </c>
      <c r="HKR19" s="175">
        <v>0.53</v>
      </c>
      <c r="HKS19" s="157" t="s">
        <v>67</v>
      </c>
      <c r="HKT19" s="157"/>
      <c r="HKU19" s="157"/>
      <c r="HKV19" s="173">
        <v>0.62</v>
      </c>
      <c r="HKW19" s="173">
        <v>0.61</v>
      </c>
      <c r="HKX19" s="173">
        <v>0.61</v>
      </c>
      <c r="HKY19" s="173">
        <v>0.61</v>
      </c>
      <c r="HKZ19" s="173">
        <v>0.6</v>
      </c>
      <c r="HLA19" s="174">
        <v>0.6</v>
      </c>
      <c r="HLB19" s="173">
        <v>0.6</v>
      </c>
      <c r="HLC19" s="174">
        <v>0.59</v>
      </c>
      <c r="HLD19" s="175">
        <v>0.59</v>
      </c>
      <c r="HLE19" s="175">
        <v>0.58</v>
      </c>
      <c r="HLF19" s="175">
        <v>0.57</v>
      </c>
      <c r="HLG19" s="175">
        <v>0.55</v>
      </c>
      <c r="HLH19" s="175">
        <v>0.53</v>
      </c>
      <c r="HLI19" s="157" t="s">
        <v>67</v>
      </c>
      <c r="HLJ19" s="157"/>
      <c r="HLK19" s="157"/>
      <c r="HLL19" s="173">
        <v>0.62</v>
      </c>
      <c r="HLM19" s="173">
        <v>0.61</v>
      </c>
      <c r="HLN19" s="173">
        <v>0.61</v>
      </c>
      <c r="HLO19" s="173">
        <v>0.61</v>
      </c>
      <c r="HLP19" s="173">
        <v>0.6</v>
      </c>
      <c r="HLQ19" s="174">
        <v>0.6</v>
      </c>
      <c r="HLR19" s="173">
        <v>0.6</v>
      </c>
      <c r="HLS19" s="174">
        <v>0.59</v>
      </c>
      <c r="HLT19" s="175">
        <v>0.59</v>
      </c>
      <c r="HLU19" s="175">
        <v>0.58</v>
      </c>
      <c r="HLV19" s="175">
        <v>0.57</v>
      </c>
      <c r="HLW19" s="175">
        <v>0.55</v>
      </c>
      <c r="HLX19" s="175">
        <v>0.53</v>
      </c>
      <c r="HLY19" s="157" t="s">
        <v>67</v>
      </c>
      <c r="HLZ19" s="157"/>
      <c r="HMA19" s="157"/>
      <c r="HMB19" s="173">
        <v>0.62</v>
      </c>
      <c r="HMC19" s="173">
        <v>0.61</v>
      </c>
      <c r="HMD19" s="173">
        <v>0.61</v>
      </c>
      <c r="HME19" s="173">
        <v>0.61</v>
      </c>
      <c r="HMF19" s="173">
        <v>0.6</v>
      </c>
      <c r="HMG19" s="174">
        <v>0.6</v>
      </c>
      <c r="HMH19" s="173">
        <v>0.6</v>
      </c>
      <c r="HMI19" s="174">
        <v>0.59</v>
      </c>
      <c r="HMJ19" s="175">
        <v>0.59</v>
      </c>
      <c r="HMK19" s="175">
        <v>0.58</v>
      </c>
      <c r="HML19" s="175">
        <v>0.57</v>
      </c>
      <c r="HMM19" s="175">
        <v>0.55</v>
      </c>
      <c r="HMN19" s="175">
        <v>0.53</v>
      </c>
      <c r="HMO19" s="157" t="s">
        <v>67</v>
      </c>
      <c r="HMP19" s="157"/>
      <c r="HMQ19" s="157"/>
      <c r="HMR19" s="173">
        <v>0.62</v>
      </c>
      <c r="HMS19" s="173">
        <v>0.61</v>
      </c>
      <c r="HMT19" s="173">
        <v>0.61</v>
      </c>
      <c r="HMU19" s="173">
        <v>0.61</v>
      </c>
      <c r="HMV19" s="173">
        <v>0.6</v>
      </c>
      <c r="HMW19" s="174">
        <v>0.6</v>
      </c>
      <c r="HMX19" s="173">
        <v>0.6</v>
      </c>
      <c r="HMY19" s="174">
        <v>0.59</v>
      </c>
      <c r="HMZ19" s="175">
        <v>0.59</v>
      </c>
      <c r="HNA19" s="175">
        <v>0.58</v>
      </c>
      <c r="HNB19" s="175">
        <v>0.57</v>
      </c>
      <c r="HNC19" s="175">
        <v>0.55</v>
      </c>
      <c r="HND19" s="175">
        <v>0.53</v>
      </c>
      <c r="HNE19" s="157" t="s">
        <v>67</v>
      </c>
      <c r="HNF19" s="157"/>
      <c r="HNG19" s="157"/>
      <c r="HNH19" s="173">
        <v>0.62</v>
      </c>
      <c r="HNI19" s="173">
        <v>0.61</v>
      </c>
      <c r="HNJ19" s="173">
        <v>0.61</v>
      </c>
      <c r="HNK19" s="173">
        <v>0.61</v>
      </c>
      <c r="HNL19" s="173">
        <v>0.6</v>
      </c>
      <c r="HNM19" s="174">
        <v>0.6</v>
      </c>
      <c r="HNN19" s="173">
        <v>0.6</v>
      </c>
      <c r="HNO19" s="174">
        <v>0.59</v>
      </c>
      <c r="HNP19" s="175">
        <v>0.59</v>
      </c>
      <c r="HNQ19" s="175">
        <v>0.58</v>
      </c>
      <c r="HNR19" s="175">
        <v>0.57</v>
      </c>
      <c r="HNS19" s="175">
        <v>0.55</v>
      </c>
      <c r="HNT19" s="175">
        <v>0.53</v>
      </c>
      <c r="HNU19" s="157" t="s">
        <v>67</v>
      </c>
      <c r="HNV19" s="157"/>
      <c r="HNW19" s="157"/>
      <c r="HNX19" s="173">
        <v>0.62</v>
      </c>
      <c r="HNY19" s="173">
        <v>0.61</v>
      </c>
      <c r="HNZ19" s="173">
        <v>0.61</v>
      </c>
      <c r="HOA19" s="173">
        <v>0.61</v>
      </c>
      <c r="HOB19" s="173">
        <v>0.6</v>
      </c>
      <c r="HOC19" s="174">
        <v>0.6</v>
      </c>
      <c r="HOD19" s="173">
        <v>0.6</v>
      </c>
      <c r="HOE19" s="174">
        <v>0.59</v>
      </c>
      <c r="HOF19" s="175">
        <v>0.59</v>
      </c>
      <c r="HOG19" s="175">
        <v>0.58</v>
      </c>
      <c r="HOH19" s="175">
        <v>0.57</v>
      </c>
      <c r="HOI19" s="175">
        <v>0.55</v>
      </c>
      <c r="HOJ19" s="175">
        <v>0.53</v>
      </c>
      <c r="HOK19" s="157" t="s">
        <v>67</v>
      </c>
      <c r="HOL19" s="157"/>
      <c r="HOM19" s="157"/>
      <c r="HON19" s="173">
        <v>0.62</v>
      </c>
      <c r="HOO19" s="173">
        <v>0.61</v>
      </c>
      <c r="HOP19" s="173">
        <v>0.61</v>
      </c>
      <c r="HOQ19" s="173">
        <v>0.61</v>
      </c>
      <c r="HOR19" s="173">
        <v>0.6</v>
      </c>
      <c r="HOS19" s="174">
        <v>0.6</v>
      </c>
      <c r="HOT19" s="173">
        <v>0.6</v>
      </c>
      <c r="HOU19" s="174">
        <v>0.59</v>
      </c>
      <c r="HOV19" s="175">
        <v>0.59</v>
      </c>
      <c r="HOW19" s="175">
        <v>0.58</v>
      </c>
      <c r="HOX19" s="175">
        <v>0.57</v>
      </c>
      <c r="HOY19" s="175">
        <v>0.55</v>
      </c>
      <c r="HOZ19" s="175">
        <v>0.53</v>
      </c>
      <c r="HPA19" s="157" t="s">
        <v>67</v>
      </c>
      <c r="HPB19" s="157"/>
      <c r="HPC19" s="157"/>
      <c r="HPD19" s="173">
        <v>0.62</v>
      </c>
      <c r="HPE19" s="173">
        <v>0.61</v>
      </c>
      <c r="HPF19" s="173">
        <v>0.61</v>
      </c>
      <c r="HPG19" s="173">
        <v>0.61</v>
      </c>
      <c r="HPH19" s="173">
        <v>0.6</v>
      </c>
      <c r="HPI19" s="174">
        <v>0.6</v>
      </c>
      <c r="HPJ19" s="173">
        <v>0.6</v>
      </c>
      <c r="HPK19" s="174">
        <v>0.59</v>
      </c>
      <c r="HPL19" s="175">
        <v>0.59</v>
      </c>
      <c r="HPM19" s="175">
        <v>0.58</v>
      </c>
      <c r="HPN19" s="175">
        <v>0.57</v>
      </c>
      <c r="HPO19" s="175">
        <v>0.55</v>
      </c>
      <c r="HPP19" s="175">
        <v>0.53</v>
      </c>
      <c r="HPQ19" s="157" t="s">
        <v>67</v>
      </c>
      <c r="HPR19" s="157"/>
      <c r="HPS19" s="157"/>
      <c r="HPT19" s="173">
        <v>0.62</v>
      </c>
      <c r="HPU19" s="173">
        <v>0.61</v>
      </c>
      <c r="HPV19" s="173">
        <v>0.61</v>
      </c>
      <c r="HPW19" s="173">
        <v>0.61</v>
      </c>
      <c r="HPX19" s="173">
        <v>0.6</v>
      </c>
      <c r="HPY19" s="174">
        <v>0.6</v>
      </c>
      <c r="HPZ19" s="173">
        <v>0.6</v>
      </c>
      <c r="HQA19" s="174">
        <v>0.59</v>
      </c>
      <c r="HQB19" s="175">
        <v>0.59</v>
      </c>
      <c r="HQC19" s="175">
        <v>0.58</v>
      </c>
      <c r="HQD19" s="175">
        <v>0.57</v>
      </c>
      <c r="HQE19" s="175">
        <v>0.55</v>
      </c>
      <c r="HQF19" s="175">
        <v>0.53</v>
      </c>
      <c r="HQG19" s="157" t="s">
        <v>67</v>
      </c>
      <c r="HQH19" s="157"/>
      <c r="HQI19" s="157"/>
      <c r="HQJ19" s="173">
        <v>0.62</v>
      </c>
      <c r="HQK19" s="173">
        <v>0.61</v>
      </c>
      <c r="HQL19" s="173">
        <v>0.61</v>
      </c>
      <c r="HQM19" s="173">
        <v>0.61</v>
      </c>
      <c r="HQN19" s="173">
        <v>0.6</v>
      </c>
      <c r="HQO19" s="174">
        <v>0.6</v>
      </c>
      <c r="HQP19" s="173">
        <v>0.6</v>
      </c>
      <c r="HQQ19" s="174">
        <v>0.59</v>
      </c>
      <c r="HQR19" s="175">
        <v>0.59</v>
      </c>
      <c r="HQS19" s="175">
        <v>0.58</v>
      </c>
      <c r="HQT19" s="175">
        <v>0.57</v>
      </c>
      <c r="HQU19" s="175">
        <v>0.55</v>
      </c>
      <c r="HQV19" s="175">
        <v>0.53</v>
      </c>
      <c r="HQW19" s="157" t="s">
        <v>67</v>
      </c>
      <c r="HQX19" s="157"/>
      <c r="HQY19" s="157"/>
      <c r="HQZ19" s="173">
        <v>0.62</v>
      </c>
      <c r="HRA19" s="173">
        <v>0.61</v>
      </c>
      <c r="HRB19" s="173">
        <v>0.61</v>
      </c>
      <c r="HRC19" s="173">
        <v>0.61</v>
      </c>
      <c r="HRD19" s="173">
        <v>0.6</v>
      </c>
      <c r="HRE19" s="174">
        <v>0.6</v>
      </c>
      <c r="HRF19" s="173">
        <v>0.6</v>
      </c>
      <c r="HRG19" s="174">
        <v>0.59</v>
      </c>
      <c r="HRH19" s="175">
        <v>0.59</v>
      </c>
      <c r="HRI19" s="175">
        <v>0.58</v>
      </c>
      <c r="HRJ19" s="175">
        <v>0.57</v>
      </c>
      <c r="HRK19" s="175">
        <v>0.55</v>
      </c>
      <c r="HRL19" s="175">
        <v>0.53</v>
      </c>
      <c r="HRM19" s="157" t="s">
        <v>67</v>
      </c>
      <c r="HRN19" s="157"/>
      <c r="HRO19" s="157"/>
      <c r="HRP19" s="173">
        <v>0.62</v>
      </c>
      <c r="HRQ19" s="173">
        <v>0.61</v>
      </c>
      <c r="HRR19" s="173">
        <v>0.61</v>
      </c>
      <c r="HRS19" s="173">
        <v>0.61</v>
      </c>
      <c r="HRT19" s="173">
        <v>0.6</v>
      </c>
      <c r="HRU19" s="174">
        <v>0.6</v>
      </c>
      <c r="HRV19" s="173">
        <v>0.6</v>
      </c>
      <c r="HRW19" s="174">
        <v>0.59</v>
      </c>
      <c r="HRX19" s="175">
        <v>0.59</v>
      </c>
      <c r="HRY19" s="175">
        <v>0.58</v>
      </c>
      <c r="HRZ19" s="175">
        <v>0.57</v>
      </c>
      <c r="HSA19" s="175">
        <v>0.55</v>
      </c>
      <c r="HSB19" s="175">
        <v>0.53</v>
      </c>
      <c r="HSC19" s="157" t="s">
        <v>67</v>
      </c>
      <c r="HSD19" s="157"/>
      <c r="HSE19" s="157"/>
      <c r="HSF19" s="173">
        <v>0.62</v>
      </c>
      <c r="HSG19" s="173">
        <v>0.61</v>
      </c>
      <c r="HSH19" s="173">
        <v>0.61</v>
      </c>
      <c r="HSI19" s="173">
        <v>0.61</v>
      </c>
      <c r="HSJ19" s="173">
        <v>0.6</v>
      </c>
      <c r="HSK19" s="174">
        <v>0.6</v>
      </c>
      <c r="HSL19" s="173">
        <v>0.6</v>
      </c>
      <c r="HSM19" s="174">
        <v>0.59</v>
      </c>
      <c r="HSN19" s="175">
        <v>0.59</v>
      </c>
      <c r="HSO19" s="175">
        <v>0.58</v>
      </c>
      <c r="HSP19" s="175">
        <v>0.57</v>
      </c>
      <c r="HSQ19" s="175">
        <v>0.55</v>
      </c>
      <c r="HSR19" s="175">
        <v>0.53</v>
      </c>
      <c r="HSS19" s="157" t="s">
        <v>67</v>
      </c>
      <c r="HST19" s="157"/>
      <c r="HSU19" s="157"/>
      <c r="HSV19" s="173">
        <v>0.62</v>
      </c>
      <c r="HSW19" s="173">
        <v>0.61</v>
      </c>
      <c r="HSX19" s="173">
        <v>0.61</v>
      </c>
      <c r="HSY19" s="173">
        <v>0.61</v>
      </c>
      <c r="HSZ19" s="173">
        <v>0.6</v>
      </c>
      <c r="HTA19" s="174">
        <v>0.6</v>
      </c>
      <c r="HTB19" s="173">
        <v>0.6</v>
      </c>
      <c r="HTC19" s="174">
        <v>0.59</v>
      </c>
      <c r="HTD19" s="175">
        <v>0.59</v>
      </c>
      <c r="HTE19" s="175">
        <v>0.58</v>
      </c>
      <c r="HTF19" s="175">
        <v>0.57</v>
      </c>
      <c r="HTG19" s="175">
        <v>0.55</v>
      </c>
      <c r="HTH19" s="175">
        <v>0.53</v>
      </c>
      <c r="HTI19" s="157" t="s">
        <v>67</v>
      </c>
      <c r="HTJ19" s="157"/>
      <c r="HTK19" s="157"/>
      <c r="HTL19" s="173">
        <v>0.62</v>
      </c>
      <c r="HTM19" s="173">
        <v>0.61</v>
      </c>
      <c r="HTN19" s="173">
        <v>0.61</v>
      </c>
      <c r="HTO19" s="173">
        <v>0.61</v>
      </c>
      <c r="HTP19" s="173">
        <v>0.6</v>
      </c>
      <c r="HTQ19" s="174">
        <v>0.6</v>
      </c>
      <c r="HTR19" s="173">
        <v>0.6</v>
      </c>
      <c r="HTS19" s="174">
        <v>0.59</v>
      </c>
      <c r="HTT19" s="175">
        <v>0.59</v>
      </c>
      <c r="HTU19" s="175">
        <v>0.58</v>
      </c>
      <c r="HTV19" s="175">
        <v>0.57</v>
      </c>
      <c r="HTW19" s="175">
        <v>0.55</v>
      </c>
      <c r="HTX19" s="175">
        <v>0.53</v>
      </c>
      <c r="HTY19" s="157" t="s">
        <v>67</v>
      </c>
      <c r="HTZ19" s="157"/>
      <c r="HUA19" s="157"/>
      <c r="HUB19" s="173">
        <v>0.62</v>
      </c>
      <c r="HUC19" s="173">
        <v>0.61</v>
      </c>
      <c r="HUD19" s="173">
        <v>0.61</v>
      </c>
      <c r="HUE19" s="173">
        <v>0.61</v>
      </c>
      <c r="HUF19" s="173">
        <v>0.6</v>
      </c>
      <c r="HUG19" s="174">
        <v>0.6</v>
      </c>
      <c r="HUH19" s="173">
        <v>0.6</v>
      </c>
      <c r="HUI19" s="174">
        <v>0.59</v>
      </c>
      <c r="HUJ19" s="175">
        <v>0.59</v>
      </c>
      <c r="HUK19" s="175">
        <v>0.58</v>
      </c>
      <c r="HUL19" s="175">
        <v>0.57</v>
      </c>
      <c r="HUM19" s="175">
        <v>0.55</v>
      </c>
      <c r="HUN19" s="175">
        <v>0.53</v>
      </c>
      <c r="HUO19" s="157" t="s">
        <v>67</v>
      </c>
      <c r="HUP19" s="157"/>
      <c r="HUQ19" s="157"/>
      <c r="HUR19" s="173">
        <v>0.62</v>
      </c>
      <c r="HUS19" s="173">
        <v>0.61</v>
      </c>
      <c r="HUT19" s="173">
        <v>0.61</v>
      </c>
      <c r="HUU19" s="173">
        <v>0.61</v>
      </c>
      <c r="HUV19" s="173">
        <v>0.6</v>
      </c>
      <c r="HUW19" s="174">
        <v>0.6</v>
      </c>
      <c r="HUX19" s="173">
        <v>0.6</v>
      </c>
      <c r="HUY19" s="174">
        <v>0.59</v>
      </c>
      <c r="HUZ19" s="175">
        <v>0.59</v>
      </c>
      <c r="HVA19" s="175">
        <v>0.58</v>
      </c>
      <c r="HVB19" s="175">
        <v>0.57</v>
      </c>
      <c r="HVC19" s="175">
        <v>0.55</v>
      </c>
      <c r="HVD19" s="175">
        <v>0.53</v>
      </c>
      <c r="HVE19" s="157" t="s">
        <v>67</v>
      </c>
      <c r="HVF19" s="157"/>
      <c r="HVG19" s="157"/>
      <c r="HVH19" s="173">
        <v>0.62</v>
      </c>
      <c r="HVI19" s="173">
        <v>0.61</v>
      </c>
      <c r="HVJ19" s="173">
        <v>0.61</v>
      </c>
      <c r="HVK19" s="173">
        <v>0.61</v>
      </c>
      <c r="HVL19" s="173">
        <v>0.6</v>
      </c>
      <c r="HVM19" s="174">
        <v>0.6</v>
      </c>
      <c r="HVN19" s="173">
        <v>0.6</v>
      </c>
      <c r="HVO19" s="174">
        <v>0.59</v>
      </c>
      <c r="HVP19" s="175">
        <v>0.59</v>
      </c>
      <c r="HVQ19" s="175">
        <v>0.58</v>
      </c>
      <c r="HVR19" s="175">
        <v>0.57</v>
      </c>
      <c r="HVS19" s="175">
        <v>0.55</v>
      </c>
      <c r="HVT19" s="175">
        <v>0.53</v>
      </c>
      <c r="HVU19" s="157" t="s">
        <v>67</v>
      </c>
      <c r="HVV19" s="157"/>
      <c r="HVW19" s="157"/>
      <c r="HVX19" s="173">
        <v>0.62</v>
      </c>
      <c r="HVY19" s="173">
        <v>0.61</v>
      </c>
      <c r="HVZ19" s="173">
        <v>0.61</v>
      </c>
      <c r="HWA19" s="173">
        <v>0.61</v>
      </c>
      <c r="HWB19" s="173">
        <v>0.6</v>
      </c>
      <c r="HWC19" s="174">
        <v>0.6</v>
      </c>
      <c r="HWD19" s="173">
        <v>0.6</v>
      </c>
      <c r="HWE19" s="174">
        <v>0.59</v>
      </c>
      <c r="HWF19" s="175">
        <v>0.59</v>
      </c>
      <c r="HWG19" s="175">
        <v>0.58</v>
      </c>
      <c r="HWH19" s="175">
        <v>0.57</v>
      </c>
      <c r="HWI19" s="175">
        <v>0.55</v>
      </c>
      <c r="HWJ19" s="175">
        <v>0.53</v>
      </c>
      <c r="HWK19" s="157" t="s">
        <v>67</v>
      </c>
      <c r="HWL19" s="157"/>
      <c r="HWM19" s="157"/>
      <c r="HWN19" s="173">
        <v>0.62</v>
      </c>
      <c r="HWO19" s="173">
        <v>0.61</v>
      </c>
      <c r="HWP19" s="173">
        <v>0.61</v>
      </c>
      <c r="HWQ19" s="173">
        <v>0.61</v>
      </c>
      <c r="HWR19" s="173">
        <v>0.6</v>
      </c>
      <c r="HWS19" s="174">
        <v>0.6</v>
      </c>
      <c r="HWT19" s="173">
        <v>0.6</v>
      </c>
      <c r="HWU19" s="174">
        <v>0.59</v>
      </c>
      <c r="HWV19" s="175">
        <v>0.59</v>
      </c>
      <c r="HWW19" s="175">
        <v>0.58</v>
      </c>
      <c r="HWX19" s="175">
        <v>0.57</v>
      </c>
      <c r="HWY19" s="175">
        <v>0.55</v>
      </c>
      <c r="HWZ19" s="175">
        <v>0.53</v>
      </c>
      <c r="HXA19" s="157" t="s">
        <v>67</v>
      </c>
      <c r="HXB19" s="157"/>
      <c r="HXC19" s="157"/>
      <c r="HXD19" s="173">
        <v>0.62</v>
      </c>
      <c r="HXE19" s="173">
        <v>0.61</v>
      </c>
      <c r="HXF19" s="173">
        <v>0.61</v>
      </c>
      <c r="HXG19" s="173">
        <v>0.61</v>
      </c>
      <c r="HXH19" s="173">
        <v>0.6</v>
      </c>
      <c r="HXI19" s="174">
        <v>0.6</v>
      </c>
      <c r="HXJ19" s="173">
        <v>0.6</v>
      </c>
      <c r="HXK19" s="174">
        <v>0.59</v>
      </c>
      <c r="HXL19" s="175">
        <v>0.59</v>
      </c>
      <c r="HXM19" s="175">
        <v>0.58</v>
      </c>
      <c r="HXN19" s="175">
        <v>0.57</v>
      </c>
      <c r="HXO19" s="175">
        <v>0.55</v>
      </c>
      <c r="HXP19" s="175">
        <v>0.53</v>
      </c>
      <c r="HXQ19" s="157" t="s">
        <v>67</v>
      </c>
      <c r="HXR19" s="157"/>
      <c r="HXS19" s="157"/>
      <c r="HXT19" s="173">
        <v>0.62</v>
      </c>
      <c r="HXU19" s="173">
        <v>0.61</v>
      </c>
      <c r="HXV19" s="173">
        <v>0.61</v>
      </c>
      <c r="HXW19" s="173">
        <v>0.61</v>
      </c>
      <c r="HXX19" s="173">
        <v>0.6</v>
      </c>
      <c r="HXY19" s="174">
        <v>0.6</v>
      </c>
      <c r="HXZ19" s="173">
        <v>0.6</v>
      </c>
      <c r="HYA19" s="174">
        <v>0.59</v>
      </c>
      <c r="HYB19" s="175">
        <v>0.59</v>
      </c>
      <c r="HYC19" s="175">
        <v>0.58</v>
      </c>
      <c r="HYD19" s="175">
        <v>0.57</v>
      </c>
      <c r="HYE19" s="175">
        <v>0.55</v>
      </c>
      <c r="HYF19" s="175">
        <v>0.53</v>
      </c>
      <c r="HYG19" s="157" t="s">
        <v>67</v>
      </c>
      <c r="HYH19" s="157"/>
      <c r="HYI19" s="157"/>
      <c r="HYJ19" s="173">
        <v>0.62</v>
      </c>
      <c r="HYK19" s="173">
        <v>0.61</v>
      </c>
      <c r="HYL19" s="173">
        <v>0.61</v>
      </c>
      <c r="HYM19" s="173">
        <v>0.61</v>
      </c>
      <c r="HYN19" s="173">
        <v>0.6</v>
      </c>
      <c r="HYO19" s="174">
        <v>0.6</v>
      </c>
      <c r="HYP19" s="173">
        <v>0.6</v>
      </c>
      <c r="HYQ19" s="174">
        <v>0.59</v>
      </c>
      <c r="HYR19" s="175">
        <v>0.59</v>
      </c>
      <c r="HYS19" s="175">
        <v>0.58</v>
      </c>
      <c r="HYT19" s="175">
        <v>0.57</v>
      </c>
      <c r="HYU19" s="175">
        <v>0.55</v>
      </c>
      <c r="HYV19" s="175">
        <v>0.53</v>
      </c>
      <c r="HYW19" s="157" t="s">
        <v>67</v>
      </c>
      <c r="HYX19" s="157"/>
      <c r="HYY19" s="157"/>
      <c r="HYZ19" s="173">
        <v>0.62</v>
      </c>
      <c r="HZA19" s="173">
        <v>0.61</v>
      </c>
      <c r="HZB19" s="173">
        <v>0.61</v>
      </c>
      <c r="HZC19" s="173">
        <v>0.61</v>
      </c>
      <c r="HZD19" s="173">
        <v>0.6</v>
      </c>
      <c r="HZE19" s="174">
        <v>0.6</v>
      </c>
      <c r="HZF19" s="173">
        <v>0.6</v>
      </c>
      <c r="HZG19" s="174">
        <v>0.59</v>
      </c>
      <c r="HZH19" s="175">
        <v>0.59</v>
      </c>
      <c r="HZI19" s="175">
        <v>0.58</v>
      </c>
      <c r="HZJ19" s="175">
        <v>0.57</v>
      </c>
      <c r="HZK19" s="175">
        <v>0.55</v>
      </c>
      <c r="HZL19" s="175">
        <v>0.53</v>
      </c>
      <c r="HZM19" s="157" t="s">
        <v>67</v>
      </c>
      <c r="HZN19" s="157"/>
      <c r="HZO19" s="157"/>
      <c r="HZP19" s="173">
        <v>0.62</v>
      </c>
      <c r="HZQ19" s="173">
        <v>0.61</v>
      </c>
      <c r="HZR19" s="173">
        <v>0.61</v>
      </c>
      <c r="HZS19" s="173">
        <v>0.61</v>
      </c>
      <c r="HZT19" s="173">
        <v>0.6</v>
      </c>
      <c r="HZU19" s="174">
        <v>0.6</v>
      </c>
      <c r="HZV19" s="173">
        <v>0.6</v>
      </c>
      <c r="HZW19" s="174">
        <v>0.59</v>
      </c>
      <c r="HZX19" s="175">
        <v>0.59</v>
      </c>
      <c r="HZY19" s="175">
        <v>0.58</v>
      </c>
      <c r="HZZ19" s="175">
        <v>0.57</v>
      </c>
      <c r="IAA19" s="175">
        <v>0.55</v>
      </c>
      <c r="IAB19" s="175">
        <v>0.53</v>
      </c>
      <c r="IAC19" s="157" t="s">
        <v>67</v>
      </c>
      <c r="IAD19" s="157"/>
      <c r="IAE19" s="157"/>
      <c r="IAF19" s="173">
        <v>0.62</v>
      </c>
      <c r="IAG19" s="173">
        <v>0.61</v>
      </c>
      <c r="IAH19" s="173">
        <v>0.61</v>
      </c>
      <c r="IAI19" s="173">
        <v>0.61</v>
      </c>
      <c r="IAJ19" s="173">
        <v>0.6</v>
      </c>
      <c r="IAK19" s="174">
        <v>0.6</v>
      </c>
      <c r="IAL19" s="173">
        <v>0.6</v>
      </c>
      <c r="IAM19" s="174">
        <v>0.59</v>
      </c>
      <c r="IAN19" s="175">
        <v>0.59</v>
      </c>
      <c r="IAO19" s="175">
        <v>0.58</v>
      </c>
      <c r="IAP19" s="175">
        <v>0.57</v>
      </c>
      <c r="IAQ19" s="175">
        <v>0.55</v>
      </c>
      <c r="IAR19" s="175">
        <v>0.53</v>
      </c>
      <c r="IAS19" s="157" t="s">
        <v>67</v>
      </c>
      <c r="IAT19" s="157"/>
      <c r="IAU19" s="157"/>
      <c r="IAV19" s="173">
        <v>0.62</v>
      </c>
      <c r="IAW19" s="173">
        <v>0.61</v>
      </c>
      <c r="IAX19" s="173">
        <v>0.61</v>
      </c>
      <c r="IAY19" s="173">
        <v>0.61</v>
      </c>
      <c r="IAZ19" s="173">
        <v>0.6</v>
      </c>
      <c r="IBA19" s="174">
        <v>0.6</v>
      </c>
      <c r="IBB19" s="173">
        <v>0.6</v>
      </c>
      <c r="IBC19" s="174">
        <v>0.59</v>
      </c>
      <c r="IBD19" s="175">
        <v>0.59</v>
      </c>
      <c r="IBE19" s="175">
        <v>0.58</v>
      </c>
      <c r="IBF19" s="175">
        <v>0.57</v>
      </c>
      <c r="IBG19" s="175">
        <v>0.55</v>
      </c>
      <c r="IBH19" s="175">
        <v>0.53</v>
      </c>
      <c r="IBI19" s="157" t="s">
        <v>67</v>
      </c>
      <c r="IBJ19" s="157"/>
      <c r="IBK19" s="157"/>
      <c r="IBL19" s="173">
        <v>0.62</v>
      </c>
      <c r="IBM19" s="173">
        <v>0.61</v>
      </c>
      <c r="IBN19" s="173">
        <v>0.61</v>
      </c>
      <c r="IBO19" s="173">
        <v>0.61</v>
      </c>
      <c r="IBP19" s="173">
        <v>0.6</v>
      </c>
      <c r="IBQ19" s="174">
        <v>0.6</v>
      </c>
      <c r="IBR19" s="173">
        <v>0.6</v>
      </c>
      <c r="IBS19" s="174">
        <v>0.59</v>
      </c>
      <c r="IBT19" s="175">
        <v>0.59</v>
      </c>
      <c r="IBU19" s="175">
        <v>0.58</v>
      </c>
      <c r="IBV19" s="175">
        <v>0.57</v>
      </c>
      <c r="IBW19" s="175">
        <v>0.55</v>
      </c>
      <c r="IBX19" s="175">
        <v>0.53</v>
      </c>
      <c r="IBY19" s="157" t="s">
        <v>67</v>
      </c>
      <c r="IBZ19" s="157"/>
      <c r="ICA19" s="157"/>
      <c r="ICB19" s="173">
        <v>0.62</v>
      </c>
      <c r="ICC19" s="173">
        <v>0.61</v>
      </c>
      <c r="ICD19" s="173">
        <v>0.61</v>
      </c>
      <c r="ICE19" s="173">
        <v>0.61</v>
      </c>
      <c r="ICF19" s="173">
        <v>0.6</v>
      </c>
      <c r="ICG19" s="174">
        <v>0.6</v>
      </c>
      <c r="ICH19" s="173">
        <v>0.6</v>
      </c>
      <c r="ICI19" s="174">
        <v>0.59</v>
      </c>
      <c r="ICJ19" s="175">
        <v>0.59</v>
      </c>
      <c r="ICK19" s="175">
        <v>0.58</v>
      </c>
      <c r="ICL19" s="175">
        <v>0.57</v>
      </c>
      <c r="ICM19" s="175">
        <v>0.55</v>
      </c>
      <c r="ICN19" s="175">
        <v>0.53</v>
      </c>
      <c r="ICO19" s="157" t="s">
        <v>67</v>
      </c>
      <c r="ICP19" s="157"/>
      <c r="ICQ19" s="157"/>
      <c r="ICR19" s="173">
        <v>0.62</v>
      </c>
      <c r="ICS19" s="173">
        <v>0.61</v>
      </c>
      <c r="ICT19" s="173">
        <v>0.61</v>
      </c>
      <c r="ICU19" s="173">
        <v>0.61</v>
      </c>
      <c r="ICV19" s="173">
        <v>0.6</v>
      </c>
      <c r="ICW19" s="174">
        <v>0.6</v>
      </c>
      <c r="ICX19" s="173">
        <v>0.6</v>
      </c>
      <c r="ICY19" s="174">
        <v>0.59</v>
      </c>
      <c r="ICZ19" s="175">
        <v>0.59</v>
      </c>
      <c r="IDA19" s="175">
        <v>0.58</v>
      </c>
      <c r="IDB19" s="175">
        <v>0.57</v>
      </c>
      <c r="IDC19" s="175">
        <v>0.55</v>
      </c>
      <c r="IDD19" s="175">
        <v>0.53</v>
      </c>
      <c r="IDE19" s="157" t="s">
        <v>67</v>
      </c>
      <c r="IDF19" s="157"/>
      <c r="IDG19" s="157"/>
      <c r="IDH19" s="173">
        <v>0.62</v>
      </c>
      <c r="IDI19" s="173">
        <v>0.61</v>
      </c>
      <c r="IDJ19" s="173">
        <v>0.61</v>
      </c>
      <c r="IDK19" s="173">
        <v>0.61</v>
      </c>
      <c r="IDL19" s="173">
        <v>0.6</v>
      </c>
      <c r="IDM19" s="174">
        <v>0.6</v>
      </c>
      <c r="IDN19" s="173">
        <v>0.6</v>
      </c>
      <c r="IDO19" s="174">
        <v>0.59</v>
      </c>
      <c r="IDP19" s="175">
        <v>0.59</v>
      </c>
      <c r="IDQ19" s="175">
        <v>0.58</v>
      </c>
      <c r="IDR19" s="175">
        <v>0.57</v>
      </c>
      <c r="IDS19" s="175">
        <v>0.55</v>
      </c>
      <c r="IDT19" s="175">
        <v>0.53</v>
      </c>
      <c r="IDU19" s="157" t="s">
        <v>67</v>
      </c>
      <c r="IDV19" s="157"/>
      <c r="IDW19" s="157"/>
      <c r="IDX19" s="173">
        <v>0.62</v>
      </c>
      <c r="IDY19" s="173">
        <v>0.61</v>
      </c>
      <c r="IDZ19" s="173">
        <v>0.61</v>
      </c>
      <c r="IEA19" s="173">
        <v>0.61</v>
      </c>
      <c r="IEB19" s="173">
        <v>0.6</v>
      </c>
      <c r="IEC19" s="174">
        <v>0.6</v>
      </c>
      <c r="IED19" s="173">
        <v>0.6</v>
      </c>
      <c r="IEE19" s="174">
        <v>0.59</v>
      </c>
      <c r="IEF19" s="175">
        <v>0.59</v>
      </c>
      <c r="IEG19" s="175">
        <v>0.58</v>
      </c>
      <c r="IEH19" s="175">
        <v>0.57</v>
      </c>
      <c r="IEI19" s="175">
        <v>0.55</v>
      </c>
      <c r="IEJ19" s="175">
        <v>0.53</v>
      </c>
      <c r="IEK19" s="157" t="s">
        <v>67</v>
      </c>
      <c r="IEL19" s="157"/>
      <c r="IEM19" s="157"/>
      <c r="IEN19" s="173">
        <v>0.62</v>
      </c>
      <c r="IEO19" s="173">
        <v>0.61</v>
      </c>
      <c r="IEP19" s="173">
        <v>0.61</v>
      </c>
      <c r="IEQ19" s="173">
        <v>0.61</v>
      </c>
      <c r="IER19" s="173">
        <v>0.6</v>
      </c>
      <c r="IES19" s="174">
        <v>0.6</v>
      </c>
      <c r="IET19" s="173">
        <v>0.6</v>
      </c>
      <c r="IEU19" s="174">
        <v>0.59</v>
      </c>
      <c r="IEV19" s="175">
        <v>0.59</v>
      </c>
      <c r="IEW19" s="175">
        <v>0.58</v>
      </c>
      <c r="IEX19" s="175">
        <v>0.57</v>
      </c>
      <c r="IEY19" s="175">
        <v>0.55</v>
      </c>
      <c r="IEZ19" s="175">
        <v>0.53</v>
      </c>
      <c r="IFA19" s="157" t="s">
        <v>67</v>
      </c>
      <c r="IFB19" s="157"/>
      <c r="IFC19" s="157"/>
      <c r="IFD19" s="173">
        <v>0.62</v>
      </c>
      <c r="IFE19" s="173">
        <v>0.61</v>
      </c>
      <c r="IFF19" s="173">
        <v>0.61</v>
      </c>
      <c r="IFG19" s="173">
        <v>0.61</v>
      </c>
      <c r="IFH19" s="173">
        <v>0.6</v>
      </c>
      <c r="IFI19" s="174">
        <v>0.6</v>
      </c>
      <c r="IFJ19" s="173">
        <v>0.6</v>
      </c>
      <c r="IFK19" s="174">
        <v>0.59</v>
      </c>
      <c r="IFL19" s="175">
        <v>0.59</v>
      </c>
      <c r="IFM19" s="175">
        <v>0.58</v>
      </c>
      <c r="IFN19" s="175">
        <v>0.57</v>
      </c>
      <c r="IFO19" s="175">
        <v>0.55</v>
      </c>
      <c r="IFP19" s="175">
        <v>0.53</v>
      </c>
      <c r="IFQ19" s="157" t="s">
        <v>67</v>
      </c>
      <c r="IFR19" s="157"/>
      <c r="IFS19" s="157"/>
      <c r="IFT19" s="173">
        <v>0.62</v>
      </c>
      <c r="IFU19" s="173">
        <v>0.61</v>
      </c>
      <c r="IFV19" s="173">
        <v>0.61</v>
      </c>
      <c r="IFW19" s="173">
        <v>0.61</v>
      </c>
      <c r="IFX19" s="173">
        <v>0.6</v>
      </c>
      <c r="IFY19" s="174">
        <v>0.6</v>
      </c>
      <c r="IFZ19" s="173">
        <v>0.6</v>
      </c>
      <c r="IGA19" s="174">
        <v>0.59</v>
      </c>
      <c r="IGB19" s="175">
        <v>0.59</v>
      </c>
      <c r="IGC19" s="175">
        <v>0.58</v>
      </c>
      <c r="IGD19" s="175">
        <v>0.57</v>
      </c>
      <c r="IGE19" s="175">
        <v>0.55</v>
      </c>
      <c r="IGF19" s="175">
        <v>0.53</v>
      </c>
      <c r="IGG19" s="157" t="s">
        <v>67</v>
      </c>
      <c r="IGH19" s="157"/>
      <c r="IGI19" s="157"/>
      <c r="IGJ19" s="173">
        <v>0.62</v>
      </c>
      <c r="IGK19" s="173">
        <v>0.61</v>
      </c>
      <c r="IGL19" s="173">
        <v>0.61</v>
      </c>
      <c r="IGM19" s="173">
        <v>0.61</v>
      </c>
      <c r="IGN19" s="173">
        <v>0.6</v>
      </c>
      <c r="IGO19" s="174">
        <v>0.6</v>
      </c>
      <c r="IGP19" s="173">
        <v>0.6</v>
      </c>
      <c r="IGQ19" s="174">
        <v>0.59</v>
      </c>
      <c r="IGR19" s="175">
        <v>0.59</v>
      </c>
      <c r="IGS19" s="175">
        <v>0.58</v>
      </c>
      <c r="IGT19" s="175">
        <v>0.57</v>
      </c>
      <c r="IGU19" s="175">
        <v>0.55</v>
      </c>
      <c r="IGV19" s="175">
        <v>0.53</v>
      </c>
      <c r="IGW19" s="157" t="s">
        <v>67</v>
      </c>
      <c r="IGX19" s="157"/>
      <c r="IGY19" s="157"/>
      <c r="IGZ19" s="173">
        <v>0.62</v>
      </c>
      <c r="IHA19" s="173">
        <v>0.61</v>
      </c>
      <c r="IHB19" s="173">
        <v>0.61</v>
      </c>
      <c r="IHC19" s="173">
        <v>0.61</v>
      </c>
      <c r="IHD19" s="173">
        <v>0.6</v>
      </c>
      <c r="IHE19" s="174">
        <v>0.6</v>
      </c>
      <c r="IHF19" s="173">
        <v>0.6</v>
      </c>
      <c r="IHG19" s="174">
        <v>0.59</v>
      </c>
      <c r="IHH19" s="175">
        <v>0.59</v>
      </c>
      <c r="IHI19" s="175">
        <v>0.58</v>
      </c>
      <c r="IHJ19" s="175">
        <v>0.57</v>
      </c>
      <c r="IHK19" s="175">
        <v>0.55</v>
      </c>
      <c r="IHL19" s="175">
        <v>0.53</v>
      </c>
      <c r="IHM19" s="157" t="s">
        <v>67</v>
      </c>
      <c r="IHN19" s="157"/>
      <c r="IHO19" s="157"/>
      <c r="IHP19" s="173">
        <v>0.62</v>
      </c>
      <c r="IHQ19" s="173">
        <v>0.61</v>
      </c>
      <c r="IHR19" s="173">
        <v>0.61</v>
      </c>
      <c r="IHS19" s="173">
        <v>0.61</v>
      </c>
      <c r="IHT19" s="173">
        <v>0.6</v>
      </c>
      <c r="IHU19" s="174">
        <v>0.6</v>
      </c>
      <c r="IHV19" s="173">
        <v>0.6</v>
      </c>
      <c r="IHW19" s="174">
        <v>0.59</v>
      </c>
      <c r="IHX19" s="175">
        <v>0.59</v>
      </c>
      <c r="IHY19" s="175">
        <v>0.58</v>
      </c>
      <c r="IHZ19" s="175">
        <v>0.57</v>
      </c>
      <c r="IIA19" s="175">
        <v>0.55</v>
      </c>
      <c r="IIB19" s="175">
        <v>0.53</v>
      </c>
      <c r="IIC19" s="157" t="s">
        <v>67</v>
      </c>
      <c r="IID19" s="157"/>
      <c r="IIE19" s="157"/>
      <c r="IIF19" s="173">
        <v>0.62</v>
      </c>
      <c r="IIG19" s="173">
        <v>0.61</v>
      </c>
      <c r="IIH19" s="173">
        <v>0.61</v>
      </c>
      <c r="III19" s="173">
        <v>0.61</v>
      </c>
      <c r="IIJ19" s="173">
        <v>0.6</v>
      </c>
      <c r="IIK19" s="174">
        <v>0.6</v>
      </c>
      <c r="IIL19" s="173">
        <v>0.6</v>
      </c>
      <c r="IIM19" s="174">
        <v>0.59</v>
      </c>
      <c r="IIN19" s="175">
        <v>0.59</v>
      </c>
      <c r="IIO19" s="175">
        <v>0.58</v>
      </c>
      <c r="IIP19" s="175">
        <v>0.57</v>
      </c>
      <c r="IIQ19" s="175">
        <v>0.55</v>
      </c>
      <c r="IIR19" s="175">
        <v>0.53</v>
      </c>
      <c r="IIS19" s="157" t="s">
        <v>67</v>
      </c>
      <c r="IIT19" s="157"/>
      <c r="IIU19" s="157"/>
      <c r="IIV19" s="173">
        <v>0.62</v>
      </c>
      <c r="IIW19" s="173">
        <v>0.61</v>
      </c>
      <c r="IIX19" s="173">
        <v>0.61</v>
      </c>
      <c r="IIY19" s="173">
        <v>0.61</v>
      </c>
      <c r="IIZ19" s="173">
        <v>0.6</v>
      </c>
      <c r="IJA19" s="174">
        <v>0.6</v>
      </c>
      <c r="IJB19" s="173">
        <v>0.6</v>
      </c>
      <c r="IJC19" s="174">
        <v>0.59</v>
      </c>
      <c r="IJD19" s="175">
        <v>0.59</v>
      </c>
      <c r="IJE19" s="175">
        <v>0.58</v>
      </c>
      <c r="IJF19" s="175">
        <v>0.57</v>
      </c>
      <c r="IJG19" s="175">
        <v>0.55</v>
      </c>
      <c r="IJH19" s="175">
        <v>0.53</v>
      </c>
      <c r="IJI19" s="157" t="s">
        <v>67</v>
      </c>
      <c r="IJJ19" s="157"/>
      <c r="IJK19" s="157"/>
      <c r="IJL19" s="173">
        <v>0.62</v>
      </c>
      <c r="IJM19" s="173">
        <v>0.61</v>
      </c>
      <c r="IJN19" s="173">
        <v>0.61</v>
      </c>
      <c r="IJO19" s="173">
        <v>0.61</v>
      </c>
      <c r="IJP19" s="173">
        <v>0.6</v>
      </c>
      <c r="IJQ19" s="174">
        <v>0.6</v>
      </c>
      <c r="IJR19" s="173">
        <v>0.6</v>
      </c>
      <c r="IJS19" s="174">
        <v>0.59</v>
      </c>
      <c r="IJT19" s="175">
        <v>0.59</v>
      </c>
      <c r="IJU19" s="175">
        <v>0.58</v>
      </c>
      <c r="IJV19" s="175">
        <v>0.57</v>
      </c>
      <c r="IJW19" s="175">
        <v>0.55</v>
      </c>
      <c r="IJX19" s="175">
        <v>0.53</v>
      </c>
      <c r="IJY19" s="157" t="s">
        <v>67</v>
      </c>
      <c r="IJZ19" s="157"/>
      <c r="IKA19" s="157"/>
      <c r="IKB19" s="173">
        <v>0.62</v>
      </c>
      <c r="IKC19" s="173">
        <v>0.61</v>
      </c>
      <c r="IKD19" s="173">
        <v>0.61</v>
      </c>
      <c r="IKE19" s="173">
        <v>0.61</v>
      </c>
      <c r="IKF19" s="173">
        <v>0.6</v>
      </c>
      <c r="IKG19" s="174">
        <v>0.6</v>
      </c>
      <c r="IKH19" s="173">
        <v>0.6</v>
      </c>
      <c r="IKI19" s="174">
        <v>0.59</v>
      </c>
      <c r="IKJ19" s="175">
        <v>0.59</v>
      </c>
      <c r="IKK19" s="175">
        <v>0.58</v>
      </c>
      <c r="IKL19" s="175">
        <v>0.57</v>
      </c>
      <c r="IKM19" s="175">
        <v>0.55</v>
      </c>
      <c r="IKN19" s="175">
        <v>0.53</v>
      </c>
      <c r="IKO19" s="157" t="s">
        <v>67</v>
      </c>
      <c r="IKP19" s="157"/>
      <c r="IKQ19" s="157"/>
      <c r="IKR19" s="173">
        <v>0.62</v>
      </c>
      <c r="IKS19" s="173">
        <v>0.61</v>
      </c>
      <c r="IKT19" s="173">
        <v>0.61</v>
      </c>
      <c r="IKU19" s="173">
        <v>0.61</v>
      </c>
      <c r="IKV19" s="173">
        <v>0.6</v>
      </c>
      <c r="IKW19" s="174">
        <v>0.6</v>
      </c>
      <c r="IKX19" s="173">
        <v>0.6</v>
      </c>
      <c r="IKY19" s="174">
        <v>0.59</v>
      </c>
      <c r="IKZ19" s="175">
        <v>0.59</v>
      </c>
      <c r="ILA19" s="175">
        <v>0.58</v>
      </c>
      <c r="ILB19" s="175">
        <v>0.57</v>
      </c>
      <c r="ILC19" s="175">
        <v>0.55</v>
      </c>
      <c r="ILD19" s="175">
        <v>0.53</v>
      </c>
      <c r="ILE19" s="157" t="s">
        <v>67</v>
      </c>
      <c r="ILF19" s="157"/>
      <c r="ILG19" s="157"/>
      <c r="ILH19" s="173">
        <v>0.62</v>
      </c>
      <c r="ILI19" s="173">
        <v>0.61</v>
      </c>
      <c r="ILJ19" s="173">
        <v>0.61</v>
      </c>
      <c r="ILK19" s="173">
        <v>0.61</v>
      </c>
      <c r="ILL19" s="173">
        <v>0.6</v>
      </c>
      <c r="ILM19" s="174">
        <v>0.6</v>
      </c>
      <c r="ILN19" s="173">
        <v>0.6</v>
      </c>
      <c r="ILO19" s="174">
        <v>0.59</v>
      </c>
      <c r="ILP19" s="175">
        <v>0.59</v>
      </c>
      <c r="ILQ19" s="175">
        <v>0.58</v>
      </c>
      <c r="ILR19" s="175">
        <v>0.57</v>
      </c>
      <c r="ILS19" s="175">
        <v>0.55</v>
      </c>
      <c r="ILT19" s="175">
        <v>0.53</v>
      </c>
      <c r="ILU19" s="157" t="s">
        <v>67</v>
      </c>
      <c r="ILV19" s="157"/>
      <c r="ILW19" s="157"/>
      <c r="ILX19" s="173">
        <v>0.62</v>
      </c>
      <c r="ILY19" s="173">
        <v>0.61</v>
      </c>
      <c r="ILZ19" s="173">
        <v>0.61</v>
      </c>
      <c r="IMA19" s="173">
        <v>0.61</v>
      </c>
      <c r="IMB19" s="173">
        <v>0.6</v>
      </c>
      <c r="IMC19" s="174">
        <v>0.6</v>
      </c>
      <c r="IMD19" s="173">
        <v>0.6</v>
      </c>
      <c r="IME19" s="174">
        <v>0.59</v>
      </c>
      <c r="IMF19" s="175">
        <v>0.59</v>
      </c>
      <c r="IMG19" s="175">
        <v>0.58</v>
      </c>
      <c r="IMH19" s="175">
        <v>0.57</v>
      </c>
      <c r="IMI19" s="175">
        <v>0.55</v>
      </c>
      <c r="IMJ19" s="175">
        <v>0.53</v>
      </c>
      <c r="IMK19" s="157" t="s">
        <v>67</v>
      </c>
      <c r="IML19" s="157"/>
      <c r="IMM19" s="157"/>
      <c r="IMN19" s="173">
        <v>0.62</v>
      </c>
      <c r="IMO19" s="173">
        <v>0.61</v>
      </c>
      <c r="IMP19" s="173">
        <v>0.61</v>
      </c>
      <c r="IMQ19" s="173">
        <v>0.61</v>
      </c>
      <c r="IMR19" s="173">
        <v>0.6</v>
      </c>
      <c r="IMS19" s="174">
        <v>0.6</v>
      </c>
      <c r="IMT19" s="173">
        <v>0.6</v>
      </c>
      <c r="IMU19" s="174">
        <v>0.59</v>
      </c>
      <c r="IMV19" s="175">
        <v>0.59</v>
      </c>
      <c r="IMW19" s="175">
        <v>0.58</v>
      </c>
      <c r="IMX19" s="175">
        <v>0.57</v>
      </c>
      <c r="IMY19" s="175">
        <v>0.55</v>
      </c>
      <c r="IMZ19" s="175">
        <v>0.53</v>
      </c>
      <c r="INA19" s="157" t="s">
        <v>67</v>
      </c>
      <c r="INB19" s="157"/>
      <c r="INC19" s="157"/>
      <c r="IND19" s="173">
        <v>0.62</v>
      </c>
      <c r="INE19" s="173">
        <v>0.61</v>
      </c>
      <c r="INF19" s="173">
        <v>0.61</v>
      </c>
      <c r="ING19" s="173">
        <v>0.61</v>
      </c>
      <c r="INH19" s="173">
        <v>0.6</v>
      </c>
      <c r="INI19" s="174">
        <v>0.6</v>
      </c>
      <c r="INJ19" s="173">
        <v>0.6</v>
      </c>
      <c r="INK19" s="174">
        <v>0.59</v>
      </c>
      <c r="INL19" s="175">
        <v>0.59</v>
      </c>
      <c r="INM19" s="175">
        <v>0.58</v>
      </c>
      <c r="INN19" s="175">
        <v>0.57</v>
      </c>
      <c r="INO19" s="175">
        <v>0.55</v>
      </c>
      <c r="INP19" s="175">
        <v>0.53</v>
      </c>
      <c r="INQ19" s="157" t="s">
        <v>67</v>
      </c>
      <c r="INR19" s="157"/>
      <c r="INS19" s="157"/>
      <c r="INT19" s="173">
        <v>0.62</v>
      </c>
      <c r="INU19" s="173">
        <v>0.61</v>
      </c>
      <c r="INV19" s="173">
        <v>0.61</v>
      </c>
      <c r="INW19" s="173">
        <v>0.61</v>
      </c>
      <c r="INX19" s="173">
        <v>0.6</v>
      </c>
      <c r="INY19" s="174">
        <v>0.6</v>
      </c>
      <c r="INZ19" s="173">
        <v>0.6</v>
      </c>
      <c r="IOA19" s="174">
        <v>0.59</v>
      </c>
      <c r="IOB19" s="175">
        <v>0.59</v>
      </c>
      <c r="IOC19" s="175">
        <v>0.58</v>
      </c>
      <c r="IOD19" s="175">
        <v>0.57</v>
      </c>
      <c r="IOE19" s="175">
        <v>0.55</v>
      </c>
      <c r="IOF19" s="175">
        <v>0.53</v>
      </c>
      <c r="IOG19" s="157" t="s">
        <v>67</v>
      </c>
      <c r="IOH19" s="157"/>
      <c r="IOI19" s="157"/>
      <c r="IOJ19" s="173">
        <v>0.62</v>
      </c>
      <c r="IOK19" s="173">
        <v>0.61</v>
      </c>
      <c r="IOL19" s="173">
        <v>0.61</v>
      </c>
      <c r="IOM19" s="173">
        <v>0.61</v>
      </c>
      <c r="ION19" s="173">
        <v>0.6</v>
      </c>
      <c r="IOO19" s="174">
        <v>0.6</v>
      </c>
      <c r="IOP19" s="173">
        <v>0.6</v>
      </c>
      <c r="IOQ19" s="174">
        <v>0.59</v>
      </c>
      <c r="IOR19" s="175">
        <v>0.59</v>
      </c>
      <c r="IOS19" s="175">
        <v>0.58</v>
      </c>
      <c r="IOT19" s="175">
        <v>0.57</v>
      </c>
      <c r="IOU19" s="175">
        <v>0.55</v>
      </c>
      <c r="IOV19" s="175">
        <v>0.53</v>
      </c>
      <c r="IOW19" s="157" t="s">
        <v>67</v>
      </c>
      <c r="IOX19" s="157"/>
      <c r="IOY19" s="157"/>
      <c r="IOZ19" s="173">
        <v>0.62</v>
      </c>
      <c r="IPA19" s="173">
        <v>0.61</v>
      </c>
      <c r="IPB19" s="173">
        <v>0.61</v>
      </c>
      <c r="IPC19" s="173">
        <v>0.61</v>
      </c>
      <c r="IPD19" s="173">
        <v>0.6</v>
      </c>
      <c r="IPE19" s="174">
        <v>0.6</v>
      </c>
      <c r="IPF19" s="173">
        <v>0.6</v>
      </c>
      <c r="IPG19" s="174">
        <v>0.59</v>
      </c>
      <c r="IPH19" s="175">
        <v>0.59</v>
      </c>
      <c r="IPI19" s="175">
        <v>0.58</v>
      </c>
      <c r="IPJ19" s="175">
        <v>0.57</v>
      </c>
      <c r="IPK19" s="175">
        <v>0.55</v>
      </c>
      <c r="IPL19" s="175">
        <v>0.53</v>
      </c>
      <c r="IPM19" s="157" t="s">
        <v>67</v>
      </c>
      <c r="IPN19" s="157"/>
      <c r="IPO19" s="157"/>
      <c r="IPP19" s="173">
        <v>0.62</v>
      </c>
      <c r="IPQ19" s="173">
        <v>0.61</v>
      </c>
      <c r="IPR19" s="173">
        <v>0.61</v>
      </c>
      <c r="IPS19" s="173">
        <v>0.61</v>
      </c>
      <c r="IPT19" s="173">
        <v>0.6</v>
      </c>
      <c r="IPU19" s="174">
        <v>0.6</v>
      </c>
      <c r="IPV19" s="173">
        <v>0.6</v>
      </c>
      <c r="IPW19" s="174">
        <v>0.59</v>
      </c>
      <c r="IPX19" s="175">
        <v>0.59</v>
      </c>
      <c r="IPY19" s="175">
        <v>0.58</v>
      </c>
      <c r="IPZ19" s="175">
        <v>0.57</v>
      </c>
      <c r="IQA19" s="175">
        <v>0.55</v>
      </c>
      <c r="IQB19" s="175">
        <v>0.53</v>
      </c>
      <c r="IQC19" s="157" t="s">
        <v>67</v>
      </c>
      <c r="IQD19" s="157"/>
      <c r="IQE19" s="157"/>
      <c r="IQF19" s="173">
        <v>0.62</v>
      </c>
      <c r="IQG19" s="173">
        <v>0.61</v>
      </c>
      <c r="IQH19" s="173">
        <v>0.61</v>
      </c>
      <c r="IQI19" s="173">
        <v>0.61</v>
      </c>
      <c r="IQJ19" s="173">
        <v>0.6</v>
      </c>
      <c r="IQK19" s="174">
        <v>0.6</v>
      </c>
      <c r="IQL19" s="173">
        <v>0.6</v>
      </c>
      <c r="IQM19" s="174">
        <v>0.59</v>
      </c>
      <c r="IQN19" s="175">
        <v>0.59</v>
      </c>
      <c r="IQO19" s="175">
        <v>0.58</v>
      </c>
      <c r="IQP19" s="175">
        <v>0.57</v>
      </c>
      <c r="IQQ19" s="175">
        <v>0.55</v>
      </c>
      <c r="IQR19" s="175">
        <v>0.53</v>
      </c>
      <c r="IQS19" s="157" t="s">
        <v>67</v>
      </c>
      <c r="IQT19" s="157"/>
      <c r="IQU19" s="157"/>
      <c r="IQV19" s="173">
        <v>0.62</v>
      </c>
      <c r="IQW19" s="173">
        <v>0.61</v>
      </c>
      <c r="IQX19" s="173">
        <v>0.61</v>
      </c>
      <c r="IQY19" s="173">
        <v>0.61</v>
      </c>
      <c r="IQZ19" s="173">
        <v>0.6</v>
      </c>
      <c r="IRA19" s="174">
        <v>0.6</v>
      </c>
      <c r="IRB19" s="173">
        <v>0.6</v>
      </c>
      <c r="IRC19" s="174">
        <v>0.59</v>
      </c>
      <c r="IRD19" s="175">
        <v>0.59</v>
      </c>
      <c r="IRE19" s="175">
        <v>0.58</v>
      </c>
      <c r="IRF19" s="175">
        <v>0.57</v>
      </c>
      <c r="IRG19" s="175">
        <v>0.55</v>
      </c>
      <c r="IRH19" s="175">
        <v>0.53</v>
      </c>
      <c r="IRI19" s="157" t="s">
        <v>67</v>
      </c>
      <c r="IRJ19" s="157"/>
      <c r="IRK19" s="157"/>
      <c r="IRL19" s="173">
        <v>0.62</v>
      </c>
      <c r="IRM19" s="173">
        <v>0.61</v>
      </c>
      <c r="IRN19" s="173">
        <v>0.61</v>
      </c>
      <c r="IRO19" s="173">
        <v>0.61</v>
      </c>
      <c r="IRP19" s="173">
        <v>0.6</v>
      </c>
      <c r="IRQ19" s="174">
        <v>0.6</v>
      </c>
      <c r="IRR19" s="173">
        <v>0.6</v>
      </c>
      <c r="IRS19" s="174">
        <v>0.59</v>
      </c>
      <c r="IRT19" s="175">
        <v>0.59</v>
      </c>
      <c r="IRU19" s="175">
        <v>0.58</v>
      </c>
      <c r="IRV19" s="175">
        <v>0.57</v>
      </c>
      <c r="IRW19" s="175">
        <v>0.55</v>
      </c>
      <c r="IRX19" s="175">
        <v>0.53</v>
      </c>
      <c r="IRY19" s="157" t="s">
        <v>67</v>
      </c>
      <c r="IRZ19" s="157"/>
      <c r="ISA19" s="157"/>
      <c r="ISB19" s="173">
        <v>0.62</v>
      </c>
      <c r="ISC19" s="173">
        <v>0.61</v>
      </c>
      <c r="ISD19" s="173">
        <v>0.61</v>
      </c>
      <c r="ISE19" s="173">
        <v>0.61</v>
      </c>
      <c r="ISF19" s="173">
        <v>0.6</v>
      </c>
      <c r="ISG19" s="174">
        <v>0.6</v>
      </c>
      <c r="ISH19" s="173">
        <v>0.6</v>
      </c>
      <c r="ISI19" s="174">
        <v>0.59</v>
      </c>
      <c r="ISJ19" s="175">
        <v>0.59</v>
      </c>
      <c r="ISK19" s="175">
        <v>0.58</v>
      </c>
      <c r="ISL19" s="175">
        <v>0.57</v>
      </c>
      <c r="ISM19" s="175">
        <v>0.55</v>
      </c>
      <c r="ISN19" s="175">
        <v>0.53</v>
      </c>
      <c r="ISO19" s="157" t="s">
        <v>67</v>
      </c>
      <c r="ISP19" s="157"/>
      <c r="ISQ19" s="157"/>
      <c r="ISR19" s="173">
        <v>0.62</v>
      </c>
      <c r="ISS19" s="173">
        <v>0.61</v>
      </c>
      <c r="IST19" s="173">
        <v>0.61</v>
      </c>
      <c r="ISU19" s="173">
        <v>0.61</v>
      </c>
      <c r="ISV19" s="173">
        <v>0.6</v>
      </c>
      <c r="ISW19" s="174">
        <v>0.6</v>
      </c>
      <c r="ISX19" s="173">
        <v>0.6</v>
      </c>
      <c r="ISY19" s="174">
        <v>0.59</v>
      </c>
      <c r="ISZ19" s="175">
        <v>0.59</v>
      </c>
      <c r="ITA19" s="175">
        <v>0.58</v>
      </c>
      <c r="ITB19" s="175">
        <v>0.57</v>
      </c>
      <c r="ITC19" s="175">
        <v>0.55</v>
      </c>
      <c r="ITD19" s="175">
        <v>0.53</v>
      </c>
      <c r="ITE19" s="157" t="s">
        <v>67</v>
      </c>
      <c r="ITF19" s="157"/>
      <c r="ITG19" s="157"/>
      <c r="ITH19" s="173">
        <v>0.62</v>
      </c>
      <c r="ITI19" s="173">
        <v>0.61</v>
      </c>
      <c r="ITJ19" s="173">
        <v>0.61</v>
      </c>
      <c r="ITK19" s="173">
        <v>0.61</v>
      </c>
      <c r="ITL19" s="173">
        <v>0.6</v>
      </c>
      <c r="ITM19" s="174">
        <v>0.6</v>
      </c>
      <c r="ITN19" s="173">
        <v>0.6</v>
      </c>
      <c r="ITO19" s="174">
        <v>0.59</v>
      </c>
      <c r="ITP19" s="175">
        <v>0.59</v>
      </c>
      <c r="ITQ19" s="175">
        <v>0.58</v>
      </c>
      <c r="ITR19" s="175">
        <v>0.57</v>
      </c>
      <c r="ITS19" s="175">
        <v>0.55</v>
      </c>
      <c r="ITT19" s="175">
        <v>0.53</v>
      </c>
      <c r="ITU19" s="157" t="s">
        <v>67</v>
      </c>
      <c r="ITV19" s="157"/>
      <c r="ITW19" s="157"/>
      <c r="ITX19" s="173">
        <v>0.62</v>
      </c>
      <c r="ITY19" s="173">
        <v>0.61</v>
      </c>
      <c r="ITZ19" s="173">
        <v>0.61</v>
      </c>
      <c r="IUA19" s="173">
        <v>0.61</v>
      </c>
      <c r="IUB19" s="173">
        <v>0.6</v>
      </c>
      <c r="IUC19" s="174">
        <v>0.6</v>
      </c>
      <c r="IUD19" s="173">
        <v>0.6</v>
      </c>
      <c r="IUE19" s="174">
        <v>0.59</v>
      </c>
      <c r="IUF19" s="175">
        <v>0.59</v>
      </c>
      <c r="IUG19" s="175">
        <v>0.58</v>
      </c>
      <c r="IUH19" s="175">
        <v>0.57</v>
      </c>
      <c r="IUI19" s="175">
        <v>0.55</v>
      </c>
      <c r="IUJ19" s="175">
        <v>0.53</v>
      </c>
      <c r="IUK19" s="157" t="s">
        <v>67</v>
      </c>
      <c r="IUL19" s="157"/>
      <c r="IUM19" s="157"/>
      <c r="IUN19" s="173">
        <v>0.62</v>
      </c>
      <c r="IUO19" s="173">
        <v>0.61</v>
      </c>
      <c r="IUP19" s="173">
        <v>0.61</v>
      </c>
      <c r="IUQ19" s="173">
        <v>0.61</v>
      </c>
      <c r="IUR19" s="173">
        <v>0.6</v>
      </c>
      <c r="IUS19" s="174">
        <v>0.6</v>
      </c>
      <c r="IUT19" s="173">
        <v>0.6</v>
      </c>
      <c r="IUU19" s="174">
        <v>0.59</v>
      </c>
      <c r="IUV19" s="175">
        <v>0.59</v>
      </c>
      <c r="IUW19" s="175">
        <v>0.58</v>
      </c>
      <c r="IUX19" s="175">
        <v>0.57</v>
      </c>
      <c r="IUY19" s="175">
        <v>0.55</v>
      </c>
      <c r="IUZ19" s="175">
        <v>0.53</v>
      </c>
      <c r="IVA19" s="157" t="s">
        <v>67</v>
      </c>
      <c r="IVB19" s="157"/>
      <c r="IVC19" s="157"/>
      <c r="IVD19" s="173">
        <v>0.62</v>
      </c>
      <c r="IVE19" s="173">
        <v>0.61</v>
      </c>
      <c r="IVF19" s="173">
        <v>0.61</v>
      </c>
      <c r="IVG19" s="173">
        <v>0.61</v>
      </c>
      <c r="IVH19" s="173">
        <v>0.6</v>
      </c>
      <c r="IVI19" s="174">
        <v>0.6</v>
      </c>
      <c r="IVJ19" s="173">
        <v>0.6</v>
      </c>
      <c r="IVK19" s="174">
        <v>0.59</v>
      </c>
      <c r="IVL19" s="175">
        <v>0.59</v>
      </c>
      <c r="IVM19" s="175">
        <v>0.58</v>
      </c>
      <c r="IVN19" s="175">
        <v>0.57</v>
      </c>
      <c r="IVO19" s="175">
        <v>0.55</v>
      </c>
      <c r="IVP19" s="175">
        <v>0.53</v>
      </c>
      <c r="IVQ19" s="157" t="s">
        <v>67</v>
      </c>
      <c r="IVR19" s="157"/>
      <c r="IVS19" s="157"/>
      <c r="IVT19" s="173">
        <v>0.62</v>
      </c>
      <c r="IVU19" s="173">
        <v>0.61</v>
      </c>
      <c r="IVV19" s="173">
        <v>0.61</v>
      </c>
      <c r="IVW19" s="173">
        <v>0.61</v>
      </c>
      <c r="IVX19" s="173">
        <v>0.6</v>
      </c>
      <c r="IVY19" s="174">
        <v>0.6</v>
      </c>
      <c r="IVZ19" s="173">
        <v>0.6</v>
      </c>
      <c r="IWA19" s="174">
        <v>0.59</v>
      </c>
      <c r="IWB19" s="175">
        <v>0.59</v>
      </c>
      <c r="IWC19" s="175">
        <v>0.58</v>
      </c>
      <c r="IWD19" s="175">
        <v>0.57</v>
      </c>
      <c r="IWE19" s="175">
        <v>0.55</v>
      </c>
      <c r="IWF19" s="175">
        <v>0.53</v>
      </c>
      <c r="IWG19" s="157" t="s">
        <v>67</v>
      </c>
      <c r="IWH19" s="157"/>
      <c r="IWI19" s="157"/>
      <c r="IWJ19" s="173">
        <v>0.62</v>
      </c>
      <c r="IWK19" s="173">
        <v>0.61</v>
      </c>
      <c r="IWL19" s="173">
        <v>0.61</v>
      </c>
      <c r="IWM19" s="173">
        <v>0.61</v>
      </c>
      <c r="IWN19" s="173">
        <v>0.6</v>
      </c>
      <c r="IWO19" s="174">
        <v>0.6</v>
      </c>
      <c r="IWP19" s="173">
        <v>0.6</v>
      </c>
      <c r="IWQ19" s="174">
        <v>0.59</v>
      </c>
      <c r="IWR19" s="175">
        <v>0.59</v>
      </c>
      <c r="IWS19" s="175">
        <v>0.58</v>
      </c>
      <c r="IWT19" s="175">
        <v>0.57</v>
      </c>
      <c r="IWU19" s="175">
        <v>0.55</v>
      </c>
      <c r="IWV19" s="175">
        <v>0.53</v>
      </c>
      <c r="IWW19" s="157" t="s">
        <v>67</v>
      </c>
      <c r="IWX19" s="157"/>
      <c r="IWY19" s="157"/>
      <c r="IWZ19" s="173">
        <v>0.62</v>
      </c>
      <c r="IXA19" s="173">
        <v>0.61</v>
      </c>
      <c r="IXB19" s="173">
        <v>0.61</v>
      </c>
      <c r="IXC19" s="173">
        <v>0.61</v>
      </c>
      <c r="IXD19" s="173">
        <v>0.6</v>
      </c>
      <c r="IXE19" s="174">
        <v>0.6</v>
      </c>
      <c r="IXF19" s="173">
        <v>0.6</v>
      </c>
      <c r="IXG19" s="174">
        <v>0.59</v>
      </c>
      <c r="IXH19" s="175">
        <v>0.59</v>
      </c>
      <c r="IXI19" s="175">
        <v>0.58</v>
      </c>
      <c r="IXJ19" s="175">
        <v>0.57</v>
      </c>
      <c r="IXK19" s="175">
        <v>0.55</v>
      </c>
      <c r="IXL19" s="175">
        <v>0.53</v>
      </c>
      <c r="IXM19" s="157" t="s">
        <v>67</v>
      </c>
      <c r="IXN19" s="157"/>
      <c r="IXO19" s="157"/>
      <c r="IXP19" s="173">
        <v>0.62</v>
      </c>
      <c r="IXQ19" s="173">
        <v>0.61</v>
      </c>
      <c r="IXR19" s="173">
        <v>0.61</v>
      </c>
      <c r="IXS19" s="173">
        <v>0.61</v>
      </c>
      <c r="IXT19" s="173">
        <v>0.6</v>
      </c>
      <c r="IXU19" s="174">
        <v>0.6</v>
      </c>
      <c r="IXV19" s="173">
        <v>0.6</v>
      </c>
      <c r="IXW19" s="174">
        <v>0.59</v>
      </c>
      <c r="IXX19" s="175">
        <v>0.59</v>
      </c>
      <c r="IXY19" s="175">
        <v>0.58</v>
      </c>
      <c r="IXZ19" s="175">
        <v>0.57</v>
      </c>
      <c r="IYA19" s="175">
        <v>0.55</v>
      </c>
      <c r="IYB19" s="175">
        <v>0.53</v>
      </c>
      <c r="IYC19" s="157" t="s">
        <v>67</v>
      </c>
      <c r="IYD19" s="157"/>
      <c r="IYE19" s="157"/>
      <c r="IYF19" s="173">
        <v>0.62</v>
      </c>
      <c r="IYG19" s="173">
        <v>0.61</v>
      </c>
      <c r="IYH19" s="173">
        <v>0.61</v>
      </c>
      <c r="IYI19" s="173">
        <v>0.61</v>
      </c>
      <c r="IYJ19" s="173">
        <v>0.6</v>
      </c>
      <c r="IYK19" s="174">
        <v>0.6</v>
      </c>
      <c r="IYL19" s="173">
        <v>0.6</v>
      </c>
      <c r="IYM19" s="174">
        <v>0.59</v>
      </c>
      <c r="IYN19" s="175">
        <v>0.59</v>
      </c>
      <c r="IYO19" s="175">
        <v>0.58</v>
      </c>
      <c r="IYP19" s="175">
        <v>0.57</v>
      </c>
      <c r="IYQ19" s="175">
        <v>0.55</v>
      </c>
      <c r="IYR19" s="175">
        <v>0.53</v>
      </c>
      <c r="IYS19" s="157" t="s">
        <v>67</v>
      </c>
      <c r="IYT19" s="157"/>
      <c r="IYU19" s="157"/>
      <c r="IYV19" s="173">
        <v>0.62</v>
      </c>
      <c r="IYW19" s="173">
        <v>0.61</v>
      </c>
      <c r="IYX19" s="173">
        <v>0.61</v>
      </c>
      <c r="IYY19" s="173">
        <v>0.61</v>
      </c>
      <c r="IYZ19" s="173">
        <v>0.6</v>
      </c>
      <c r="IZA19" s="174">
        <v>0.6</v>
      </c>
      <c r="IZB19" s="173">
        <v>0.6</v>
      </c>
      <c r="IZC19" s="174">
        <v>0.59</v>
      </c>
      <c r="IZD19" s="175">
        <v>0.59</v>
      </c>
      <c r="IZE19" s="175">
        <v>0.58</v>
      </c>
      <c r="IZF19" s="175">
        <v>0.57</v>
      </c>
      <c r="IZG19" s="175">
        <v>0.55</v>
      </c>
      <c r="IZH19" s="175">
        <v>0.53</v>
      </c>
      <c r="IZI19" s="157" t="s">
        <v>67</v>
      </c>
      <c r="IZJ19" s="157"/>
      <c r="IZK19" s="157"/>
      <c r="IZL19" s="173">
        <v>0.62</v>
      </c>
      <c r="IZM19" s="173">
        <v>0.61</v>
      </c>
      <c r="IZN19" s="173">
        <v>0.61</v>
      </c>
      <c r="IZO19" s="173">
        <v>0.61</v>
      </c>
      <c r="IZP19" s="173">
        <v>0.6</v>
      </c>
      <c r="IZQ19" s="174">
        <v>0.6</v>
      </c>
      <c r="IZR19" s="173">
        <v>0.6</v>
      </c>
      <c r="IZS19" s="174">
        <v>0.59</v>
      </c>
      <c r="IZT19" s="175">
        <v>0.59</v>
      </c>
      <c r="IZU19" s="175">
        <v>0.58</v>
      </c>
      <c r="IZV19" s="175">
        <v>0.57</v>
      </c>
      <c r="IZW19" s="175">
        <v>0.55</v>
      </c>
      <c r="IZX19" s="175">
        <v>0.53</v>
      </c>
      <c r="IZY19" s="157" t="s">
        <v>67</v>
      </c>
      <c r="IZZ19" s="157"/>
      <c r="JAA19" s="157"/>
      <c r="JAB19" s="173">
        <v>0.62</v>
      </c>
      <c r="JAC19" s="173">
        <v>0.61</v>
      </c>
      <c r="JAD19" s="173">
        <v>0.61</v>
      </c>
      <c r="JAE19" s="173">
        <v>0.61</v>
      </c>
      <c r="JAF19" s="173">
        <v>0.6</v>
      </c>
      <c r="JAG19" s="174">
        <v>0.6</v>
      </c>
      <c r="JAH19" s="173">
        <v>0.6</v>
      </c>
      <c r="JAI19" s="174">
        <v>0.59</v>
      </c>
      <c r="JAJ19" s="175">
        <v>0.59</v>
      </c>
      <c r="JAK19" s="175">
        <v>0.58</v>
      </c>
      <c r="JAL19" s="175">
        <v>0.57</v>
      </c>
      <c r="JAM19" s="175">
        <v>0.55</v>
      </c>
      <c r="JAN19" s="175">
        <v>0.53</v>
      </c>
      <c r="JAO19" s="157" t="s">
        <v>67</v>
      </c>
      <c r="JAP19" s="157"/>
      <c r="JAQ19" s="157"/>
      <c r="JAR19" s="173">
        <v>0.62</v>
      </c>
      <c r="JAS19" s="173">
        <v>0.61</v>
      </c>
      <c r="JAT19" s="173">
        <v>0.61</v>
      </c>
      <c r="JAU19" s="173">
        <v>0.61</v>
      </c>
      <c r="JAV19" s="173">
        <v>0.6</v>
      </c>
      <c r="JAW19" s="174">
        <v>0.6</v>
      </c>
      <c r="JAX19" s="173">
        <v>0.6</v>
      </c>
      <c r="JAY19" s="174">
        <v>0.59</v>
      </c>
      <c r="JAZ19" s="175">
        <v>0.59</v>
      </c>
      <c r="JBA19" s="175">
        <v>0.58</v>
      </c>
      <c r="JBB19" s="175">
        <v>0.57</v>
      </c>
      <c r="JBC19" s="175">
        <v>0.55</v>
      </c>
      <c r="JBD19" s="175">
        <v>0.53</v>
      </c>
      <c r="JBE19" s="157" t="s">
        <v>67</v>
      </c>
      <c r="JBF19" s="157"/>
      <c r="JBG19" s="157"/>
      <c r="JBH19" s="173">
        <v>0.62</v>
      </c>
      <c r="JBI19" s="173">
        <v>0.61</v>
      </c>
      <c r="JBJ19" s="173">
        <v>0.61</v>
      </c>
      <c r="JBK19" s="173">
        <v>0.61</v>
      </c>
      <c r="JBL19" s="173">
        <v>0.6</v>
      </c>
      <c r="JBM19" s="174">
        <v>0.6</v>
      </c>
      <c r="JBN19" s="173">
        <v>0.6</v>
      </c>
      <c r="JBO19" s="174">
        <v>0.59</v>
      </c>
      <c r="JBP19" s="175">
        <v>0.59</v>
      </c>
      <c r="JBQ19" s="175">
        <v>0.58</v>
      </c>
      <c r="JBR19" s="175">
        <v>0.57</v>
      </c>
      <c r="JBS19" s="175">
        <v>0.55</v>
      </c>
      <c r="JBT19" s="175">
        <v>0.53</v>
      </c>
      <c r="JBU19" s="157" t="s">
        <v>67</v>
      </c>
      <c r="JBV19" s="157"/>
      <c r="JBW19" s="157"/>
      <c r="JBX19" s="173">
        <v>0.62</v>
      </c>
      <c r="JBY19" s="173">
        <v>0.61</v>
      </c>
      <c r="JBZ19" s="173">
        <v>0.61</v>
      </c>
      <c r="JCA19" s="173">
        <v>0.61</v>
      </c>
      <c r="JCB19" s="173">
        <v>0.6</v>
      </c>
      <c r="JCC19" s="174">
        <v>0.6</v>
      </c>
      <c r="JCD19" s="173">
        <v>0.6</v>
      </c>
      <c r="JCE19" s="174">
        <v>0.59</v>
      </c>
      <c r="JCF19" s="175">
        <v>0.59</v>
      </c>
      <c r="JCG19" s="175">
        <v>0.58</v>
      </c>
      <c r="JCH19" s="175">
        <v>0.57</v>
      </c>
      <c r="JCI19" s="175">
        <v>0.55</v>
      </c>
      <c r="JCJ19" s="175">
        <v>0.53</v>
      </c>
      <c r="JCK19" s="157" t="s">
        <v>67</v>
      </c>
      <c r="JCL19" s="157"/>
      <c r="JCM19" s="157"/>
      <c r="JCN19" s="173">
        <v>0.62</v>
      </c>
      <c r="JCO19" s="173">
        <v>0.61</v>
      </c>
      <c r="JCP19" s="173">
        <v>0.61</v>
      </c>
      <c r="JCQ19" s="173">
        <v>0.61</v>
      </c>
      <c r="JCR19" s="173">
        <v>0.6</v>
      </c>
      <c r="JCS19" s="174">
        <v>0.6</v>
      </c>
      <c r="JCT19" s="173">
        <v>0.6</v>
      </c>
      <c r="JCU19" s="174">
        <v>0.59</v>
      </c>
      <c r="JCV19" s="175">
        <v>0.59</v>
      </c>
      <c r="JCW19" s="175">
        <v>0.58</v>
      </c>
      <c r="JCX19" s="175">
        <v>0.57</v>
      </c>
      <c r="JCY19" s="175">
        <v>0.55</v>
      </c>
      <c r="JCZ19" s="175">
        <v>0.53</v>
      </c>
      <c r="JDA19" s="157" t="s">
        <v>67</v>
      </c>
      <c r="JDB19" s="157"/>
      <c r="JDC19" s="157"/>
      <c r="JDD19" s="173">
        <v>0.62</v>
      </c>
      <c r="JDE19" s="173">
        <v>0.61</v>
      </c>
      <c r="JDF19" s="173">
        <v>0.61</v>
      </c>
      <c r="JDG19" s="173">
        <v>0.61</v>
      </c>
      <c r="JDH19" s="173">
        <v>0.6</v>
      </c>
      <c r="JDI19" s="174">
        <v>0.6</v>
      </c>
      <c r="JDJ19" s="173">
        <v>0.6</v>
      </c>
      <c r="JDK19" s="174">
        <v>0.59</v>
      </c>
      <c r="JDL19" s="175">
        <v>0.59</v>
      </c>
      <c r="JDM19" s="175">
        <v>0.58</v>
      </c>
      <c r="JDN19" s="175">
        <v>0.57</v>
      </c>
      <c r="JDO19" s="175">
        <v>0.55</v>
      </c>
      <c r="JDP19" s="175">
        <v>0.53</v>
      </c>
      <c r="JDQ19" s="157" t="s">
        <v>67</v>
      </c>
      <c r="JDR19" s="157"/>
      <c r="JDS19" s="157"/>
      <c r="JDT19" s="173">
        <v>0.62</v>
      </c>
      <c r="JDU19" s="173">
        <v>0.61</v>
      </c>
      <c r="JDV19" s="173">
        <v>0.61</v>
      </c>
      <c r="JDW19" s="173">
        <v>0.61</v>
      </c>
      <c r="JDX19" s="173">
        <v>0.6</v>
      </c>
      <c r="JDY19" s="174">
        <v>0.6</v>
      </c>
      <c r="JDZ19" s="173">
        <v>0.6</v>
      </c>
      <c r="JEA19" s="174">
        <v>0.59</v>
      </c>
      <c r="JEB19" s="175">
        <v>0.59</v>
      </c>
      <c r="JEC19" s="175">
        <v>0.58</v>
      </c>
      <c r="JED19" s="175">
        <v>0.57</v>
      </c>
      <c r="JEE19" s="175">
        <v>0.55</v>
      </c>
      <c r="JEF19" s="175">
        <v>0.53</v>
      </c>
      <c r="JEG19" s="157" t="s">
        <v>67</v>
      </c>
      <c r="JEH19" s="157"/>
      <c r="JEI19" s="157"/>
      <c r="JEJ19" s="173">
        <v>0.62</v>
      </c>
      <c r="JEK19" s="173">
        <v>0.61</v>
      </c>
      <c r="JEL19" s="173">
        <v>0.61</v>
      </c>
      <c r="JEM19" s="173">
        <v>0.61</v>
      </c>
      <c r="JEN19" s="173">
        <v>0.6</v>
      </c>
      <c r="JEO19" s="174">
        <v>0.6</v>
      </c>
      <c r="JEP19" s="173">
        <v>0.6</v>
      </c>
      <c r="JEQ19" s="174">
        <v>0.59</v>
      </c>
      <c r="JER19" s="175">
        <v>0.59</v>
      </c>
      <c r="JES19" s="175">
        <v>0.58</v>
      </c>
      <c r="JET19" s="175">
        <v>0.57</v>
      </c>
      <c r="JEU19" s="175">
        <v>0.55</v>
      </c>
      <c r="JEV19" s="175">
        <v>0.53</v>
      </c>
      <c r="JEW19" s="157" t="s">
        <v>67</v>
      </c>
      <c r="JEX19" s="157"/>
      <c r="JEY19" s="157"/>
      <c r="JEZ19" s="173">
        <v>0.62</v>
      </c>
      <c r="JFA19" s="173">
        <v>0.61</v>
      </c>
      <c r="JFB19" s="173">
        <v>0.61</v>
      </c>
      <c r="JFC19" s="173">
        <v>0.61</v>
      </c>
      <c r="JFD19" s="173">
        <v>0.6</v>
      </c>
      <c r="JFE19" s="174">
        <v>0.6</v>
      </c>
      <c r="JFF19" s="173">
        <v>0.6</v>
      </c>
      <c r="JFG19" s="174">
        <v>0.59</v>
      </c>
      <c r="JFH19" s="175">
        <v>0.59</v>
      </c>
      <c r="JFI19" s="175">
        <v>0.58</v>
      </c>
      <c r="JFJ19" s="175">
        <v>0.57</v>
      </c>
      <c r="JFK19" s="175">
        <v>0.55</v>
      </c>
      <c r="JFL19" s="175">
        <v>0.53</v>
      </c>
      <c r="JFM19" s="157" t="s">
        <v>67</v>
      </c>
      <c r="JFN19" s="157"/>
      <c r="JFO19" s="157"/>
      <c r="JFP19" s="173">
        <v>0.62</v>
      </c>
      <c r="JFQ19" s="173">
        <v>0.61</v>
      </c>
      <c r="JFR19" s="173">
        <v>0.61</v>
      </c>
      <c r="JFS19" s="173">
        <v>0.61</v>
      </c>
      <c r="JFT19" s="173">
        <v>0.6</v>
      </c>
      <c r="JFU19" s="174">
        <v>0.6</v>
      </c>
      <c r="JFV19" s="173">
        <v>0.6</v>
      </c>
      <c r="JFW19" s="174">
        <v>0.59</v>
      </c>
      <c r="JFX19" s="175">
        <v>0.59</v>
      </c>
      <c r="JFY19" s="175">
        <v>0.58</v>
      </c>
      <c r="JFZ19" s="175">
        <v>0.57</v>
      </c>
      <c r="JGA19" s="175">
        <v>0.55</v>
      </c>
      <c r="JGB19" s="175">
        <v>0.53</v>
      </c>
      <c r="JGC19" s="157" t="s">
        <v>67</v>
      </c>
      <c r="JGD19" s="157"/>
      <c r="JGE19" s="157"/>
      <c r="JGF19" s="173">
        <v>0.62</v>
      </c>
      <c r="JGG19" s="173">
        <v>0.61</v>
      </c>
      <c r="JGH19" s="173">
        <v>0.61</v>
      </c>
      <c r="JGI19" s="173">
        <v>0.61</v>
      </c>
      <c r="JGJ19" s="173">
        <v>0.6</v>
      </c>
      <c r="JGK19" s="174">
        <v>0.6</v>
      </c>
      <c r="JGL19" s="173">
        <v>0.6</v>
      </c>
      <c r="JGM19" s="174">
        <v>0.59</v>
      </c>
      <c r="JGN19" s="175">
        <v>0.59</v>
      </c>
      <c r="JGO19" s="175">
        <v>0.58</v>
      </c>
      <c r="JGP19" s="175">
        <v>0.57</v>
      </c>
      <c r="JGQ19" s="175">
        <v>0.55</v>
      </c>
      <c r="JGR19" s="175">
        <v>0.53</v>
      </c>
      <c r="JGS19" s="157" t="s">
        <v>67</v>
      </c>
      <c r="JGT19" s="157"/>
      <c r="JGU19" s="157"/>
      <c r="JGV19" s="173">
        <v>0.62</v>
      </c>
      <c r="JGW19" s="173">
        <v>0.61</v>
      </c>
      <c r="JGX19" s="173">
        <v>0.61</v>
      </c>
      <c r="JGY19" s="173">
        <v>0.61</v>
      </c>
      <c r="JGZ19" s="173">
        <v>0.6</v>
      </c>
      <c r="JHA19" s="174">
        <v>0.6</v>
      </c>
      <c r="JHB19" s="173">
        <v>0.6</v>
      </c>
      <c r="JHC19" s="174">
        <v>0.59</v>
      </c>
      <c r="JHD19" s="175">
        <v>0.59</v>
      </c>
      <c r="JHE19" s="175">
        <v>0.58</v>
      </c>
      <c r="JHF19" s="175">
        <v>0.57</v>
      </c>
      <c r="JHG19" s="175">
        <v>0.55</v>
      </c>
      <c r="JHH19" s="175">
        <v>0.53</v>
      </c>
      <c r="JHI19" s="157" t="s">
        <v>67</v>
      </c>
      <c r="JHJ19" s="157"/>
      <c r="JHK19" s="157"/>
      <c r="JHL19" s="173">
        <v>0.62</v>
      </c>
      <c r="JHM19" s="173">
        <v>0.61</v>
      </c>
      <c r="JHN19" s="173">
        <v>0.61</v>
      </c>
      <c r="JHO19" s="173">
        <v>0.61</v>
      </c>
      <c r="JHP19" s="173">
        <v>0.6</v>
      </c>
      <c r="JHQ19" s="174">
        <v>0.6</v>
      </c>
      <c r="JHR19" s="173">
        <v>0.6</v>
      </c>
      <c r="JHS19" s="174">
        <v>0.59</v>
      </c>
      <c r="JHT19" s="175">
        <v>0.59</v>
      </c>
      <c r="JHU19" s="175">
        <v>0.58</v>
      </c>
      <c r="JHV19" s="175">
        <v>0.57</v>
      </c>
      <c r="JHW19" s="175">
        <v>0.55</v>
      </c>
      <c r="JHX19" s="175">
        <v>0.53</v>
      </c>
      <c r="JHY19" s="157" t="s">
        <v>67</v>
      </c>
      <c r="JHZ19" s="157"/>
      <c r="JIA19" s="157"/>
      <c r="JIB19" s="173">
        <v>0.62</v>
      </c>
      <c r="JIC19" s="173">
        <v>0.61</v>
      </c>
      <c r="JID19" s="173">
        <v>0.61</v>
      </c>
      <c r="JIE19" s="173">
        <v>0.61</v>
      </c>
      <c r="JIF19" s="173">
        <v>0.6</v>
      </c>
      <c r="JIG19" s="174">
        <v>0.6</v>
      </c>
      <c r="JIH19" s="173">
        <v>0.6</v>
      </c>
      <c r="JII19" s="174">
        <v>0.59</v>
      </c>
      <c r="JIJ19" s="175">
        <v>0.59</v>
      </c>
      <c r="JIK19" s="175">
        <v>0.58</v>
      </c>
      <c r="JIL19" s="175">
        <v>0.57</v>
      </c>
      <c r="JIM19" s="175">
        <v>0.55</v>
      </c>
      <c r="JIN19" s="175">
        <v>0.53</v>
      </c>
      <c r="JIO19" s="157" t="s">
        <v>67</v>
      </c>
      <c r="JIP19" s="157"/>
      <c r="JIQ19" s="157"/>
      <c r="JIR19" s="173">
        <v>0.62</v>
      </c>
      <c r="JIS19" s="173">
        <v>0.61</v>
      </c>
      <c r="JIT19" s="173">
        <v>0.61</v>
      </c>
      <c r="JIU19" s="173">
        <v>0.61</v>
      </c>
      <c r="JIV19" s="173">
        <v>0.6</v>
      </c>
      <c r="JIW19" s="174">
        <v>0.6</v>
      </c>
      <c r="JIX19" s="173">
        <v>0.6</v>
      </c>
      <c r="JIY19" s="174">
        <v>0.59</v>
      </c>
      <c r="JIZ19" s="175">
        <v>0.59</v>
      </c>
      <c r="JJA19" s="175">
        <v>0.58</v>
      </c>
      <c r="JJB19" s="175">
        <v>0.57</v>
      </c>
      <c r="JJC19" s="175">
        <v>0.55</v>
      </c>
      <c r="JJD19" s="175">
        <v>0.53</v>
      </c>
      <c r="JJE19" s="157" t="s">
        <v>67</v>
      </c>
      <c r="JJF19" s="157"/>
      <c r="JJG19" s="157"/>
      <c r="JJH19" s="173">
        <v>0.62</v>
      </c>
      <c r="JJI19" s="173">
        <v>0.61</v>
      </c>
      <c r="JJJ19" s="173">
        <v>0.61</v>
      </c>
      <c r="JJK19" s="173">
        <v>0.61</v>
      </c>
      <c r="JJL19" s="173">
        <v>0.6</v>
      </c>
      <c r="JJM19" s="174">
        <v>0.6</v>
      </c>
      <c r="JJN19" s="173">
        <v>0.6</v>
      </c>
      <c r="JJO19" s="174">
        <v>0.59</v>
      </c>
      <c r="JJP19" s="175">
        <v>0.59</v>
      </c>
      <c r="JJQ19" s="175">
        <v>0.58</v>
      </c>
      <c r="JJR19" s="175">
        <v>0.57</v>
      </c>
      <c r="JJS19" s="175">
        <v>0.55</v>
      </c>
      <c r="JJT19" s="175">
        <v>0.53</v>
      </c>
      <c r="JJU19" s="157" t="s">
        <v>67</v>
      </c>
      <c r="JJV19" s="157"/>
      <c r="JJW19" s="157"/>
      <c r="JJX19" s="173">
        <v>0.62</v>
      </c>
      <c r="JJY19" s="173">
        <v>0.61</v>
      </c>
      <c r="JJZ19" s="173">
        <v>0.61</v>
      </c>
      <c r="JKA19" s="173">
        <v>0.61</v>
      </c>
      <c r="JKB19" s="173">
        <v>0.6</v>
      </c>
      <c r="JKC19" s="174">
        <v>0.6</v>
      </c>
      <c r="JKD19" s="173">
        <v>0.6</v>
      </c>
      <c r="JKE19" s="174">
        <v>0.59</v>
      </c>
      <c r="JKF19" s="175">
        <v>0.59</v>
      </c>
      <c r="JKG19" s="175">
        <v>0.58</v>
      </c>
      <c r="JKH19" s="175">
        <v>0.57</v>
      </c>
      <c r="JKI19" s="175">
        <v>0.55</v>
      </c>
      <c r="JKJ19" s="175">
        <v>0.53</v>
      </c>
      <c r="JKK19" s="157" t="s">
        <v>67</v>
      </c>
      <c r="JKL19" s="157"/>
      <c r="JKM19" s="157"/>
      <c r="JKN19" s="173">
        <v>0.62</v>
      </c>
      <c r="JKO19" s="173">
        <v>0.61</v>
      </c>
      <c r="JKP19" s="173">
        <v>0.61</v>
      </c>
      <c r="JKQ19" s="173">
        <v>0.61</v>
      </c>
      <c r="JKR19" s="173">
        <v>0.6</v>
      </c>
      <c r="JKS19" s="174">
        <v>0.6</v>
      </c>
      <c r="JKT19" s="173">
        <v>0.6</v>
      </c>
      <c r="JKU19" s="174">
        <v>0.59</v>
      </c>
      <c r="JKV19" s="175">
        <v>0.59</v>
      </c>
      <c r="JKW19" s="175">
        <v>0.58</v>
      </c>
      <c r="JKX19" s="175">
        <v>0.57</v>
      </c>
      <c r="JKY19" s="175">
        <v>0.55</v>
      </c>
      <c r="JKZ19" s="175">
        <v>0.53</v>
      </c>
      <c r="JLA19" s="157" t="s">
        <v>67</v>
      </c>
      <c r="JLB19" s="157"/>
      <c r="JLC19" s="157"/>
      <c r="JLD19" s="173">
        <v>0.62</v>
      </c>
      <c r="JLE19" s="173">
        <v>0.61</v>
      </c>
      <c r="JLF19" s="173">
        <v>0.61</v>
      </c>
      <c r="JLG19" s="173">
        <v>0.61</v>
      </c>
      <c r="JLH19" s="173">
        <v>0.6</v>
      </c>
      <c r="JLI19" s="174">
        <v>0.6</v>
      </c>
      <c r="JLJ19" s="173">
        <v>0.6</v>
      </c>
      <c r="JLK19" s="174">
        <v>0.59</v>
      </c>
      <c r="JLL19" s="175">
        <v>0.59</v>
      </c>
      <c r="JLM19" s="175">
        <v>0.58</v>
      </c>
      <c r="JLN19" s="175">
        <v>0.57</v>
      </c>
      <c r="JLO19" s="175">
        <v>0.55</v>
      </c>
      <c r="JLP19" s="175">
        <v>0.53</v>
      </c>
      <c r="JLQ19" s="157" t="s">
        <v>67</v>
      </c>
      <c r="JLR19" s="157"/>
      <c r="JLS19" s="157"/>
      <c r="JLT19" s="173">
        <v>0.62</v>
      </c>
      <c r="JLU19" s="173">
        <v>0.61</v>
      </c>
      <c r="JLV19" s="173">
        <v>0.61</v>
      </c>
      <c r="JLW19" s="173">
        <v>0.61</v>
      </c>
      <c r="JLX19" s="173">
        <v>0.6</v>
      </c>
      <c r="JLY19" s="174">
        <v>0.6</v>
      </c>
      <c r="JLZ19" s="173">
        <v>0.6</v>
      </c>
      <c r="JMA19" s="174">
        <v>0.59</v>
      </c>
      <c r="JMB19" s="175">
        <v>0.59</v>
      </c>
      <c r="JMC19" s="175">
        <v>0.58</v>
      </c>
      <c r="JMD19" s="175">
        <v>0.57</v>
      </c>
      <c r="JME19" s="175">
        <v>0.55</v>
      </c>
      <c r="JMF19" s="175">
        <v>0.53</v>
      </c>
      <c r="JMG19" s="157" t="s">
        <v>67</v>
      </c>
      <c r="JMH19" s="157"/>
      <c r="JMI19" s="157"/>
      <c r="JMJ19" s="173">
        <v>0.62</v>
      </c>
      <c r="JMK19" s="173">
        <v>0.61</v>
      </c>
      <c r="JML19" s="173">
        <v>0.61</v>
      </c>
      <c r="JMM19" s="173">
        <v>0.61</v>
      </c>
      <c r="JMN19" s="173">
        <v>0.6</v>
      </c>
      <c r="JMO19" s="174">
        <v>0.6</v>
      </c>
      <c r="JMP19" s="173">
        <v>0.6</v>
      </c>
      <c r="JMQ19" s="174">
        <v>0.59</v>
      </c>
      <c r="JMR19" s="175">
        <v>0.59</v>
      </c>
      <c r="JMS19" s="175">
        <v>0.58</v>
      </c>
      <c r="JMT19" s="175">
        <v>0.57</v>
      </c>
      <c r="JMU19" s="175">
        <v>0.55</v>
      </c>
      <c r="JMV19" s="175">
        <v>0.53</v>
      </c>
      <c r="JMW19" s="157" t="s">
        <v>67</v>
      </c>
      <c r="JMX19" s="157"/>
      <c r="JMY19" s="157"/>
      <c r="JMZ19" s="173">
        <v>0.62</v>
      </c>
      <c r="JNA19" s="173">
        <v>0.61</v>
      </c>
      <c r="JNB19" s="173">
        <v>0.61</v>
      </c>
      <c r="JNC19" s="173">
        <v>0.61</v>
      </c>
      <c r="JND19" s="173">
        <v>0.6</v>
      </c>
      <c r="JNE19" s="174">
        <v>0.6</v>
      </c>
      <c r="JNF19" s="173">
        <v>0.6</v>
      </c>
      <c r="JNG19" s="174">
        <v>0.59</v>
      </c>
      <c r="JNH19" s="175">
        <v>0.59</v>
      </c>
      <c r="JNI19" s="175">
        <v>0.58</v>
      </c>
      <c r="JNJ19" s="175">
        <v>0.57</v>
      </c>
      <c r="JNK19" s="175">
        <v>0.55</v>
      </c>
      <c r="JNL19" s="175">
        <v>0.53</v>
      </c>
      <c r="JNM19" s="157" t="s">
        <v>67</v>
      </c>
      <c r="JNN19" s="157"/>
      <c r="JNO19" s="157"/>
      <c r="JNP19" s="173">
        <v>0.62</v>
      </c>
      <c r="JNQ19" s="173">
        <v>0.61</v>
      </c>
      <c r="JNR19" s="173">
        <v>0.61</v>
      </c>
      <c r="JNS19" s="173">
        <v>0.61</v>
      </c>
      <c r="JNT19" s="173">
        <v>0.6</v>
      </c>
      <c r="JNU19" s="174">
        <v>0.6</v>
      </c>
      <c r="JNV19" s="173">
        <v>0.6</v>
      </c>
      <c r="JNW19" s="174">
        <v>0.59</v>
      </c>
      <c r="JNX19" s="175">
        <v>0.59</v>
      </c>
      <c r="JNY19" s="175">
        <v>0.58</v>
      </c>
      <c r="JNZ19" s="175">
        <v>0.57</v>
      </c>
      <c r="JOA19" s="175">
        <v>0.55</v>
      </c>
      <c r="JOB19" s="175">
        <v>0.53</v>
      </c>
      <c r="JOC19" s="157" t="s">
        <v>67</v>
      </c>
      <c r="JOD19" s="157"/>
      <c r="JOE19" s="157"/>
      <c r="JOF19" s="173">
        <v>0.62</v>
      </c>
      <c r="JOG19" s="173">
        <v>0.61</v>
      </c>
      <c r="JOH19" s="173">
        <v>0.61</v>
      </c>
      <c r="JOI19" s="173">
        <v>0.61</v>
      </c>
      <c r="JOJ19" s="173">
        <v>0.6</v>
      </c>
      <c r="JOK19" s="174">
        <v>0.6</v>
      </c>
      <c r="JOL19" s="173">
        <v>0.6</v>
      </c>
      <c r="JOM19" s="174">
        <v>0.59</v>
      </c>
      <c r="JON19" s="175">
        <v>0.59</v>
      </c>
      <c r="JOO19" s="175">
        <v>0.58</v>
      </c>
      <c r="JOP19" s="175">
        <v>0.57</v>
      </c>
      <c r="JOQ19" s="175">
        <v>0.55</v>
      </c>
      <c r="JOR19" s="175">
        <v>0.53</v>
      </c>
      <c r="JOS19" s="157" t="s">
        <v>67</v>
      </c>
      <c r="JOT19" s="157"/>
      <c r="JOU19" s="157"/>
      <c r="JOV19" s="173">
        <v>0.62</v>
      </c>
      <c r="JOW19" s="173">
        <v>0.61</v>
      </c>
      <c r="JOX19" s="173">
        <v>0.61</v>
      </c>
      <c r="JOY19" s="173">
        <v>0.61</v>
      </c>
      <c r="JOZ19" s="173">
        <v>0.6</v>
      </c>
      <c r="JPA19" s="174">
        <v>0.6</v>
      </c>
      <c r="JPB19" s="173">
        <v>0.6</v>
      </c>
      <c r="JPC19" s="174">
        <v>0.59</v>
      </c>
      <c r="JPD19" s="175">
        <v>0.59</v>
      </c>
      <c r="JPE19" s="175">
        <v>0.58</v>
      </c>
      <c r="JPF19" s="175">
        <v>0.57</v>
      </c>
      <c r="JPG19" s="175">
        <v>0.55</v>
      </c>
      <c r="JPH19" s="175">
        <v>0.53</v>
      </c>
      <c r="JPI19" s="157" t="s">
        <v>67</v>
      </c>
      <c r="JPJ19" s="157"/>
      <c r="JPK19" s="157"/>
      <c r="JPL19" s="173">
        <v>0.62</v>
      </c>
      <c r="JPM19" s="173">
        <v>0.61</v>
      </c>
      <c r="JPN19" s="173">
        <v>0.61</v>
      </c>
      <c r="JPO19" s="173">
        <v>0.61</v>
      </c>
      <c r="JPP19" s="173">
        <v>0.6</v>
      </c>
      <c r="JPQ19" s="174">
        <v>0.6</v>
      </c>
      <c r="JPR19" s="173">
        <v>0.6</v>
      </c>
      <c r="JPS19" s="174">
        <v>0.59</v>
      </c>
      <c r="JPT19" s="175">
        <v>0.59</v>
      </c>
      <c r="JPU19" s="175">
        <v>0.58</v>
      </c>
      <c r="JPV19" s="175">
        <v>0.57</v>
      </c>
      <c r="JPW19" s="175">
        <v>0.55</v>
      </c>
      <c r="JPX19" s="175">
        <v>0.53</v>
      </c>
      <c r="JPY19" s="157" t="s">
        <v>67</v>
      </c>
      <c r="JPZ19" s="157"/>
      <c r="JQA19" s="157"/>
      <c r="JQB19" s="173">
        <v>0.62</v>
      </c>
      <c r="JQC19" s="173">
        <v>0.61</v>
      </c>
      <c r="JQD19" s="173">
        <v>0.61</v>
      </c>
      <c r="JQE19" s="173">
        <v>0.61</v>
      </c>
      <c r="JQF19" s="173">
        <v>0.6</v>
      </c>
      <c r="JQG19" s="174">
        <v>0.6</v>
      </c>
      <c r="JQH19" s="173">
        <v>0.6</v>
      </c>
      <c r="JQI19" s="174">
        <v>0.59</v>
      </c>
      <c r="JQJ19" s="175">
        <v>0.59</v>
      </c>
      <c r="JQK19" s="175">
        <v>0.58</v>
      </c>
      <c r="JQL19" s="175">
        <v>0.57</v>
      </c>
      <c r="JQM19" s="175">
        <v>0.55</v>
      </c>
      <c r="JQN19" s="175">
        <v>0.53</v>
      </c>
      <c r="JQO19" s="157" t="s">
        <v>67</v>
      </c>
      <c r="JQP19" s="157"/>
      <c r="JQQ19" s="157"/>
      <c r="JQR19" s="173">
        <v>0.62</v>
      </c>
      <c r="JQS19" s="173">
        <v>0.61</v>
      </c>
      <c r="JQT19" s="173">
        <v>0.61</v>
      </c>
      <c r="JQU19" s="173">
        <v>0.61</v>
      </c>
      <c r="JQV19" s="173">
        <v>0.6</v>
      </c>
      <c r="JQW19" s="174">
        <v>0.6</v>
      </c>
      <c r="JQX19" s="173">
        <v>0.6</v>
      </c>
      <c r="JQY19" s="174">
        <v>0.59</v>
      </c>
      <c r="JQZ19" s="175">
        <v>0.59</v>
      </c>
      <c r="JRA19" s="175">
        <v>0.58</v>
      </c>
      <c r="JRB19" s="175">
        <v>0.57</v>
      </c>
      <c r="JRC19" s="175">
        <v>0.55</v>
      </c>
      <c r="JRD19" s="175">
        <v>0.53</v>
      </c>
      <c r="JRE19" s="157" t="s">
        <v>67</v>
      </c>
      <c r="JRF19" s="157"/>
      <c r="JRG19" s="157"/>
      <c r="JRH19" s="173">
        <v>0.62</v>
      </c>
      <c r="JRI19" s="173">
        <v>0.61</v>
      </c>
      <c r="JRJ19" s="173">
        <v>0.61</v>
      </c>
      <c r="JRK19" s="173">
        <v>0.61</v>
      </c>
      <c r="JRL19" s="173">
        <v>0.6</v>
      </c>
      <c r="JRM19" s="174">
        <v>0.6</v>
      </c>
      <c r="JRN19" s="173">
        <v>0.6</v>
      </c>
      <c r="JRO19" s="174">
        <v>0.59</v>
      </c>
      <c r="JRP19" s="175">
        <v>0.59</v>
      </c>
      <c r="JRQ19" s="175">
        <v>0.58</v>
      </c>
      <c r="JRR19" s="175">
        <v>0.57</v>
      </c>
      <c r="JRS19" s="175">
        <v>0.55</v>
      </c>
      <c r="JRT19" s="175">
        <v>0.53</v>
      </c>
      <c r="JRU19" s="157" t="s">
        <v>67</v>
      </c>
      <c r="JRV19" s="157"/>
      <c r="JRW19" s="157"/>
      <c r="JRX19" s="173">
        <v>0.62</v>
      </c>
      <c r="JRY19" s="173">
        <v>0.61</v>
      </c>
      <c r="JRZ19" s="173">
        <v>0.61</v>
      </c>
      <c r="JSA19" s="173">
        <v>0.61</v>
      </c>
      <c r="JSB19" s="173">
        <v>0.6</v>
      </c>
      <c r="JSC19" s="174">
        <v>0.6</v>
      </c>
      <c r="JSD19" s="173">
        <v>0.6</v>
      </c>
      <c r="JSE19" s="174">
        <v>0.59</v>
      </c>
      <c r="JSF19" s="175">
        <v>0.59</v>
      </c>
      <c r="JSG19" s="175">
        <v>0.58</v>
      </c>
      <c r="JSH19" s="175">
        <v>0.57</v>
      </c>
      <c r="JSI19" s="175">
        <v>0.55</v>
      </c>
      <c r="JSJ19" s="175">
        <v>0.53</v>
      </c>
      <c r="JSK19" s="157" t="s">
        <v>67</v>
      </c>
      <c r="JSL19" s="157"/>
      <c r="JSM19" s="157"/>
      <c r="JSN19" s="173">
        <v>0.62</v>
      </c>
      <c r="JSO19" s="173">
        <v>0.61</v>
      </c>
      <c r="JSP19" s="173">
        <v>0.61</v>
      </c>
      <c r="JSQ19" s="173">
        <v>0.61</v>
      </c>
      <c r="JSR19" s="173">
        <v>0.6</v>
      </c>
      <c r="JSS19" s="174">
        <v>0.6</v>
      </c>
      <c r="JST19" s="173">
        <v>0.6</v>
      </c>
      <c r="JSU19" s="174">
        <v>0.59</v>
      </c>
      <c r="JSV19" s="175">
        <v>0.59</v>
      </c>
      <c r="JSW19" s="175">
        <v>0.58</v>
      </c>
      <c r="JSX19" s="175">
        <v>0.57</v>
      </c>
      <c r="JSY19" s="175">
        <v>0.55</v>
      </c>
      <c r="JSZ19" s="175">
        <v>0.53</v>
      </c>
      <c r="JTA19" s="157" t="s">
        <v>67</v>
      </c>
      <c r="JTB19" s="157"/>
      <c r="JTC19" s="157"/>
      <c r="JTD19" s="173">
        <v>0.62</v>
      </c>
      <c r="JTE19" s="173">
        <v>0.61</v>
      </c>
      <c r="JTF19" s="173">
        <v>0.61</v>
      </c>
      <c r="JTG19" s="173">
        <v>0.61</v>
      </c>
      <c r="JTH19" s="173">
        <v>0.6</v>
      </c>
      <c r="JTI19" s="174">
        <v>0.6</v>
      </c>
      <c r="JTJ19" s="173">
        <v>0.6</v>
      </c>
      <c r="JTK19" s="174">
        <v>0.59</v>
      </c>
      <c r="JTL19" s="175">
        <v>0.59</v>
      </c>
      <c r="JTM19" s="175">
        <v>0.58</v>
      </c>
      <c r="JTN19" s="175">
        <v>0.57</v>
      </c>
      <c r="JTO19" s="175">
        <v>0.55</v>
      </c>
      <c r="JTP19" s="175">
        <v>0.53</v>
      </c>
      <c r="JTQ19" s="157" t="s">
        <v>67</v>
      </c>
      <c r="JTR19" s="157"/>
      <c r="JTS19" s="157"/>
      <c r="JTT19" s="173">
        <v>0.62</v>
      </c>
      <c r="JTU19" s="173">
        <v>0.61</v>
      </c>
      <c r="JTV19" s="173">
        <v>0.61</v>
      </c>
      <c r="JTW19" s="173">
        <v>0.61</v>
      </c>
      <c r="JTX19" s="173">
        <v>0.6</v>
      </c>
      <c r="JTY19" s="174">
        <v>0.6</v>
      </c>
      <c r="JTZ19" s="173">
        <v>0.6</v>
      </c>
      <c r="JUA19" s="174">
        <v>0.59</v>
      </c>
      <c r="JUB19" s="175">
        <v>0.59</v>
      </c>
      <c r="JUC19" s="175">
        <v>0.58</v>
      </c>
      <c r="JUD19" s="175">
        <v>0.57</v>
      </c>
      <c r="JUE19" s="175">
        <v>0.55</v>
      </c>
      <c r="JUF19" s="175">
        <v>0.53</v>
      </c>
      <c r="JUG19" s="157" t="s">
        <v>67</v>
      </c>
      <c r="JUH19" s="157"/>
      <c r="JUI19" s="157"/>
      <c r="JUJ19" s="173">
        <v>0.62</v>
      </c>
      <c r="JUK19" s="173">
        <v>0.61</v>
      </c>
      <c r="JUL19" s="173">
        <v>0.61</v>
      </c>
      <c r="JUM19" s="173">
        <v>0.61</v>
      </c>
      <c r="JUN19" s="173">
        <v>0.6</v>
      </c>
      <c r="JUO19" s="174">
        <v>0.6</v>
      </c>
      <c r="JUP19" s="173">
        <v>0.6</v>
      </c>
      <c r="JUQ19" s="174">
        <v>0.59</v>
      </c>
      <c r="JUR19" s="175">
        <v>0.59</v>
      </c>
      <c r="JUS19" s="175">
        <v>0.58</v>
      </c>
      <c r="JUT19" s="175">
        <v>0.57</v>
      </c>
      <c r="JUU19" s="175">
        <v>0.55</v>
      </c>
      <c r="JUV19" s="175">
        <v>0.53</v>
      </c>
      <c r="JUW19" s="157" t="s">
        <v>67</v>
      </c>
      <c r="JUX19" s="157"/>
      <c r="JUY19" s="157"/>
      <c r="JUZ19" s="173">
        <v>0.62</v>
      </c>
      <c r="JVA19" s="173">
        <v>0.61</v>
      </c>
      <c r="JVB19" s="173">
        <v>0.61</v>
      </c>
      <c r="JVC19" s="173">
        <v>0.61</v>
      </c>
      <c r="JVD19" s="173">
        <v>0.6</v>
      </c>
      <c r="JVE19" s="174">
        <v>0.6</v>
      </c>
      <c r="JVF19" s="173">
        <v>0.6</v>
      </c>
      <c r="JVG19" s="174">
        <v>0.59</v>
      </c>
      <c r="JVH19" s="175">
        <v>0.59</v>
      </c>
      <c r="JVI19" s="175">
        <v>0.58</v>
      </c>
      <c r="JVJ19" s="175">
        <v>0.57</v>
      </c>
      <c r="JVK19" s="175">
        <v>0.55</v>
      </c>
      <c r="JVL19" s="175">
        <v>0.53</v>
      </c>
      <c r="JVM19" s="157" t="s">
        <v>67</v>
      </c>
      <c r="JVN19" s="157"/>
      <c r="JVO19" s="157"/>
      <c r="JVP19" s="173">
        <v>0.62</v>
      </c>
      <c r="JVQ19" s="173">
        <v>0.61</v>
      </c>
      <c r="JVR19" s="173">
        <v>0.61</v>
      </c>
      <c r="JVS19" s="173">
        <v>0.61</v>
      </c>
      <c r="JVT19" s="173">
        <v>0.6</v>
      </c>
      <c r="JVU19" s="174">
        <v>0.6</v>
      </c>
      <c r="JVV19" s="173">
        <v>0.6</v>
      </c>
      <c r="JVW19" s="174">
        <v>0.59</v>
      </c>
      <c r="JVX19" s="175">
        <v>0.59</v>
      </c>
      <c r="JVY19" s="175">
        <v>0.58</v>
      </c>
      <c r="JVZ19" s="175">
        <v>0.57</v>
      </c>
      <c r="JWA19" s="175">
        <v>0.55</v>
      </c>
      <c r="JWB19" s="175">
        <v>0.53</v>
      </c>
      <c r="JWC19" s="157" t="s">
        <v>67</v>
      </c>
      <c r="JWD19" s="157"/>
      <c r="JWE19" s="157"/>
      <c r="JWF19" s="173">
        <v>0.62</v>
      </c>
      <c r="JWG19" s="173">
        <v>0.61</v>
      </c>
      <c r="JWH19" s="173">
        <v>0.61</v>
      </c>
      <c r="JWI19" s="173">
        <v>0.61</v>
      </c>
      <c r="JWJ19" s="173">
        <v>0.6</v>
      </c>
      <c r="JWK19" s="174">
        <v>0.6</v>
      </c>
      <c r="JWL19" s="173">
        <v>0.6</v>
      </c>
      <c r="JWM19" s="174">
        <v>0.59</v>
      </c>
      <c r="JWN19" s="175">
        <v>0.59</v>
      </c>
      <c r="JWO19" s="175">
        <v>0.58</v>
      </c>
      <c r="JWP19" s="175">
        <v>0.57</v>
      </c>
      <c r="JWQ19" s="175">
        <v>0.55</v>
      </c>
      <c r="JWR19" s="175">
        <v>0.53</v>
      </c>
      <c r="JWS19" s="157" t="s">
        <v>67</v>
      </c>
      <c r="JWT19" s="157"/>
      <c r="JWU19" s="157"/>
      <c r="JWV19" s="173">
        <v>0.62</v>
      </c>
      <c r="JWW19" s="173">
        <v>0.61</v>
      </c>
      <c r="JWX19" s="173">
        <v>0.61</v>
      </c>
      <c r="JWY19" s="173">
        <v>0.61</v>
      </c>
      <c r="JWZ19" s="173">
        <v>0.6</v>
      </c>
      <c r="JXA19" s="174">
        <v>0.6</v>
      </c>
      <c r="JXB19" s="173">
        <v>0.6</v>
      </c>
      <c r="JXC19" s="174">
        <v>0.59</v>
      </c>
      <c r="JXD19" s="175">
        <v>0.59</v>
      </c>
      <c r="JXE19" s="175">
        <v>0.58</v>
      </c>
      <c r="JXF19" s="175">
        <v>0.57</v>
      </c>
      <c r="JXG19" s="175">
        <v>0.55</v>
      </c>
      <c r="JXH19" s="175">
        <v>0.53</v>
      </c>
      <c r="JXI19" s="157" t="s">
        <v>67</v>
      </c>
      <c r="JXJ19" s="157"/>
      <c r="JXK19" s="157"/>
      <c r="JXL19" s="173">
        <v>0.62</v>
      </c>
      <c r="JXM19" s="173">
        <v>0.61</v>
      </c>
      <c r="JXN19" s="173">
        <v>0.61</v>
      </c>
      <c r="JXO19" s="173">
        <v>0.61</v>
      </c>
      <c r="JXP19" s="173">
        <v>0.6</v>
      </c>
      <c r="JXQ19" s="174">
        <v>0.6</v>
      </c>
      <c r="JXR19" s="173">
        <v>0.6</v>
      </c>
      <c r="JXS19" s="174">
        <v>0.59</v>
      </c>
      <c r="JXT19" s="175">
        <v>0.59</v>
      </c>
      <c r="JXU19" s="175">
        <v>0.58</v>
      </c>
      <c r="JXV19" s="175">
        <v>0.57</v>
      </c>
      <c r="JXW19" s="175">
        <v>0.55</v>
      </c>
      <c r="JXX19" s="175">
        <v>0.53</v>
      </c>
      <c r="JXY19" s="157" t="s">
        <v>67</v>
      </c>
      <c r="JXZ19" s="157"/>
      <c r="JYA19" s="157"/>
      <c r="JYB19" s="173">
        <v>0.62</v>
      </c>
      <c r="JYC19" s="173">
        <v>0.61</v>
      </c>
      <c r="JYD19" s="173">
        <v>0.61</v>
      </c>
      <c r="JYE19" s="173">
        <v>0.61</v>
      </c>
      <c r="JYF19" s="173">
        <v>0.6</v>
      </c>
      <c r="JYG19" s="174">
        <v>0.6</v>
      </c>
      <c r="JYH19" s="173">
        <v>0.6</v>
      </c>
      <c r="JYI19" s="174">
        <v>0.59</v>
      </c>
      <c r="JYJ19" s="175">
        <v>0.59</v>
      </c>
      <c r="JYK19" s="175">
        <v>0.58</v>
      </c>
      <c r="JYL19" s="175">
        <v>0.57</v>
      </c>
      <c r="JYM19" s="175">
        <v>0.55</v>
      </c>
      <c r="JYN19" s="175">
        <v>0.53</v>
      </c>
      <c r="JYO19" s="157" t="s">
        <v>67</v>
      </c>
      <c r="JYP19" s="157"/>
      <c r="JYQ19" s="157"/>
      <c r="JYR19" s="173">
        <v>0.62</v>
      </c>
      <c r="JYS19" s="173">
        <v>0.61</v>
      </c>
      <c r="JYT19" s="173">
        <v>0.61</v>
      </c>
      <c r="JYU19" s="173">
        <v>0.61</v>
      </c>
      <c r="JYV19" s="173">
        <v>0.6</v>
      </c>
      <c r="JYW19" s="174">
        <v>0.6</v>
      </c>
      <c r="JYX19" s="173">
        <v>0.6</v>
      </c>
      <c r="JYY19" s="174">
        <v>0.59</v>
      </c>
      <c r="JYZ19" s="175">
        <v>0.59</v>
      </c>
      <c r="JZA19" s="175">
        <v>0.58</v>
      </c>
      <c r="JZB19" s="175">
        <v>0.57</v>
      </c>
      <c r="JZC19" s="175">
        <v>0.55</v>
      </c>
      <c r="JZD19" s="175">
        <v>0.53</v>
      </c>
      <c r="JZE19" s="157" t="s">
        <v>67</v>
      </c>
      <c r="JZF19" s="157"/>
      <c r="JZG19" s="157"/>
      <c r="JZH19" s="173">
        <v>0.62</v>
      </c>
      <c r="JZI19" s="173">
        <v>0.61</v>
      </c>
      <c r="JZJ19" s="173">
        <v>0.61</v>
      </c>
      <c r="JZK19" s="173">
        <v>0.61</v>
      </c>
      <c r="JZL19" s="173">
        <v>0.6</v>
      </c>
      <c r="JZM19" s="174">
        <v>0.6</v>
      </c>
      <c r="JZN19" s="173">
        <v>0.6</v>
      </c>
      <c r="JZO19" s="174">
        <v>0.59</v>
      </c>
      <c r="JZP19" s="175">
        <v>0.59</v>
      </c>
      <c r="JZQ19" s="175">
        <v>0.58</v>
      </c>
      <c r="JZR19" s="175">
        <v>0.57</v>
      </c>
      <c r="JZS19" s="175">
        <v>0.55</v>
      </c>
      <c r="JZT19" s="175">
        <v>0.53</v>
      </c>
      <c r="JZU19" s="157" t="s">
        <v>67</v>
      </c>
      <c r="JZV19" s="157"/>
      <c r="JZW19" s="157"/>
      <c r="JZX19" s="173">
        <v>0.62</v>
      </c>
      <c r="JZY19" s="173">
        <v>0.61</v>
      </c>
      <c r="JZZ19" s="173">
        <v>0.61</v>
      </c>
      <c r="KAA19" s="173">
        <v>0.61</v>
      </c>
      <c r="KAB19" s="173">
        <v>0.6</v>
      </c>
      <c r="KAC19" s="174">
        <v>0.6</v>
      </c>
      <c r="KAD19" s="173">
        <v>0.6</v>
      </c>
      <c r="KAE19" s="174">
        <v>0.59</v>
      </c>
      <c r="KAF19" s="175">
        <v>0.59</v>
      </c>
      <c r="KAG19" s="175">
        <v>0.58</v>
      </c>
      <c r="KAH19" s="175">
        <v>0.57</v>
      </c>
      <c r="KAI19" s="175">
        <v>0.55</v>
      </c>
      <c r="KAJ19" s="175">
        <v>0.53</v>
      </c>
      <c r="KAK19" s="157" t="s">
        <v>67</v>
      </c>
      <c r="KAL19" s="157"/>
      <c r="KAM19" s="157"/>
      <c r="KAN19" s="173">
        <v>0.62</v>
      </c>
      <c r="KAO19" s="173">
        <v>0.61</v>
      </c>
      <c r="KAP19" s="173">
        <v>0.61</v>
      </c>
      <c r="KAQ19" s="173">
        <v>0.61</v>
      </c>
      <c r="KAR19" s="173">
        <v>0.6</v>
      </c>
      <c r="KAS19" s="174">
        <v>0.6</v>
      </c>
      <c r="KAT19" s="173">
        <v>0.6</v>
      </c>
      <c r="KAU19" s="174">
        <v>0.59</v>
      </c>
      <c r="KAV19" s="175">
        <v>0.59</v>
      </c>
      <c r="KAW19" s="175">
        <v>0.58</v>
      </c>
      <c r="KAX19" s="175">
        <v>0.57</v>
      </c>
      <c r="KAY19" s="175">
        <v>0.55</v>
      </c>
      <c r="KAZ19" s="175">
        <v>0.53</v>
      </c>
      <c r="KBA19" s="157" t="s">
        <v>67</v>
      </c>
      <c r="KBB19" s="157"/>
      <c r="KBC19" s="157"/>
      <c r="KBD19" s="173">
        <v>0.62</v>
      </c>
      <c r="KBE19" s="173">
        <v>0.61</v>
      </c>
      <c r="KBF19" s="173">
        <v>0.61</v>
      </c>
      <c r="KBG19" s="173">
        <v>0.61</v>
      </c>
      <c r="KBH19" s="173">
        <v>0.6</v>
      </c>
      <c r="KBI19" s="174">
        <v>0.6</v>
      </c>
      <c r="KBJ19" s="173">
        <v>0.6</v>
      </c>
      <c r="KBK19" s="174">
        <v>0.59</v>
      </c>
      <c r="KBL19" s="175">
        <v>0.59</v>
      </c>
      <c r="KBM19" s="175">
        <v>0.58</v>
      </c>
      <c r="KBN19" s="175">
        <v>0.57</v>
      </c>
      <c r="KBO19" s="175">
        <v>0.55</v>
      </c>
      <c r="KBP19" s="175">
        <v>0.53</v>
      </c>
      <c r="KBQ19" s="157" t="s">
        <v>67</v>
      </c>
      <c r="KBR19" s="157"/>
      <c r="KBS19" s="157"/>
      <c r="KBT19" s="173">
        <v>0.62</v>
      </c>
      <c r="KBU19" s="173">
        <v>0.61</v>
      </c>
      <c r="KBV19" s="173">
        <v>0.61</v>
      </c>
      <c r="KBW19" s="173">
        <v>0.61</v>
      </c>
      <c r="KBX19" s="173">
        <v>0.6</v>
      </c>
      <c r="KBY19" s="174">
        <v>0.6</v>
      </c>
      <c r="KBZ19" s="173">
        <v>0.6</v>
      </c>
      <c r="KCA19" s="174">
        <v>0.59</v>
      </c>
      <c r="KCB19" s="175">
        <v>0.59</v>
      </c>
      <c r="KCC19" s="175">
        <v>0.58</v>
      </c>
      <c r="KCD19" s="175">
        <v>0.57</v>
      </c>
      <c r="KCE19" s="175">
        <v>0.55</v>
      </c>
      <c r="KCF19" s="175">
        <v>0.53</v>
      </c>
      <c r="KCG19" s="157" t="s">
        <v>67</v>
      </c>
      <c r="KCH19" s="157"/>
      <c r="KCI19" s="157"/>
      <c r="KCJ19" s="173">
        <v>0.62</v>
      </c>
      <c r="KCK19" s="173">
        <v>0.61</v>
      </c>
      <c r="KCL19" s="173">
        <v>0.61</v>
      </c>
      <c r="KCM19" s="173">
        <v>0.61</v>
      </c>
      <c r="KCN19" s="173">
        <v>0.6</v>
      </c>
      <c r="KCO19" s="174">
        <v>0.6</v>
      </c>
      <c r="KCP19" s="173">
        <v>0.6</v>
      </c>
      <c r="KCQ19" s="174">
        <v>0.59</v>
      </c>
      <c r="KCR19" s="175">
        <v>0.59</v>
      </c>
      <c r="KCS19" s="175">
        <v>0.58</v>
      </c>
      <c r="KCT19" s="175">
        <v>0.57</v>
      </c>
      <c r="KCU19" s="175">
        <v>0.55</v>
      </c>
      <c r="KCV19" s="175">
        <v>0.53</v>
      </c>
      <c r="KCW19" s="157" t="s">
        <v>67</v>
      </c>
      <c r="KCX19" s="157"/>
      <c r="KCY19" s="157"/>
      <c r="KCZ19" s="173">
        <v>0.62</v>
      </c>
      <c r="KDA19" s="173">
        <v>0.61</v>
      </c>
      <c r="KDB19" s="173">
        <v>0.61</v>
      </c>
      <c r="KDC19" s="173">
        <v>0.61</v>
      </c>
      <c r="KDD19" s="173">
        <v>0.6</v>
      </c>
      <c r="KDE19" s="174">
        <v>0.6</v>
      </c>
      <c r="KDF19" s="173">
        <v>0.6</v>
      </c>
      <c r="KDG19" s="174">
        <v>0.59</v>
      </c>
      <c r="KDH19" s="175">
        <v>0.59</v>
      </c>
      <c r="KDI19" s="175">
        <v>0.58</v>
      </c>
      <c r="KDJ19" s="175">
        <v>0.57</v>
      </c>
      <c r="KDK19" s="175">
        <v>0.55</v>
      </c>
      <c r="KDL19" s="175">
        <v>0.53</v>
      </c>
      <c r="KDM19" s="157" t="s">
        <v>67</v>
      </c>
      <c r="KDN19" s="157"/>
      <c r="KDO19" s="157"/>
      <c r="KDP19" s="173">
        <v>0.62</v>
      </c>
      <c r="KDQ19" s="173">
        <v>0.61</v>
      </c>
      <c r="KDR19" s="173">
        <v>0.61</v>
      </c>
      <c r="KDS19" s="173">
        <v>0.61</v>
      </c>
      <c r="KDT19" s="173">
        <v>0.6</v>
      </c>
      <c r="KDU19" s="174">
        <v>0.6</v>
      </c>
      <c r="KDV19" s="173">
        <v>0.6</v>
      </c>
      <c r="KDW19" s="174">
        <v>0.59</v>
      </c>
      <c r="KDX19" s="175">
        <v>0.59</v>
      </c>
      <c r="KDY19" s="175">
        <v>0.58</v>
      </c>
      <c r="KDZ19" s="175">
        <v>0.57</v>
      </c>
      <c r="KEA19" s="175">
        <v>0.55</v>
      </c>
      <c r="KEB19" s="175">
        <v>0.53</v>
      </c>
      <c r="KEC19" s="157" t="s">
        <v>67</v>
      </c>
      <c r="KED19" s="157"/>
      <c r="KEE19" s="157"/>
      <c r="KEF19" s="173">
        <v>0.62</v>
      </c>
      <c r="KEG19" s="173">
        <v>0.61</v>
      </c>
      <c r="KEH19" s="173">
        <v>0.61</v>
      </c>
      <c r="KEI19" s="173">
        <v>0.61</v>
      </c>
      <c r="KEJ19" s="173">
        <v>0.6</v>
      </c>
      <c r="KEK19" s="174">
        <v>0.6</v>
      </c>
      <c r="KEL19" s="173">
        <v>0.6</v>
      </c>
      <c r="KEM19" s="174">
        <v>0.59</v>
      </c>
      <c r="KEN19" s="175">
        <v>0.59</v>
      </c>
      <c r="KEO19" s="175">
        <v>0.58</v>
      </c>
      <c r="KEP19" s="175">
        <v>0.57</v>
      </c>
      <c r="KEQ19" s="175">
        <v>0.55</v>
      </c>
      <c r="KER19" s="175">
        <v>0.53</v>
      </c>
      <c r="KES19" s="157" t="s">
        <v>67</v>
      </c>
      <c r="KET19" s="157"/>
      <c r="KEU19" s="157"/>
      <c r="KEV19" s="173">
        <v>0.62</v>
      </c>
      <c r="KEW19" s="173">
        <v>0.61</v>
      </c>
      <c r="KEX19" s="173">
        <v>0.61</v>
      </c>
      <c r="KEY19" s="173">
        <v>0.61</v>
      </c>
      <c r="KEZ19" s="173">
        <v>0.6</v>
      </c>
      <c r="KFA19" s="174">
        <v>0.6</v>
      </c>
      <c r="KFB19" s="173">
        <v>0.6</v>
      </c>
      <c r="KFC19" s="174">
        <v>0.59</v>
      </c>
      <c r="KFD19" s="175">
        <v>0.59</v>
      </c>
      <c r="KFE19" s="175">
        <v>0.58</v>
      </c>
      <c r="KFF19" s="175">
        <v>0.57</v>
      </c>
      <c r="KFG19" s="175">
        <v>0.55</v>
      </c>
      <c r="KFH19" s="175">
        <v>0.53</v>
      </c>
      <c r="KFI19" s="157" t="s">
        <v>67</v>
      </c>
      <c r="KFJ19" s="157"/>
      <c r="KFK19" s="157"/>
      <c r="KFL19" s="173">
        <v>0.62</v>
      </c>
      <c r="KFM19" s="173">
        <v>0.61</v>
      </c>
      <c r="KFN19" s="173">
        <v>0.61</v>
      </c>
      <c r="KFO19" s="173">
        <v>0.61</v>
      </c>
      <c r="KFP19" s="173">
        <v>0.6</v>
      </c>
      <c r="KFQ19" s="174">
        <v>0.6</v>
      </c>
      <c r="KFR19" s="173">
        <v>0.6</v>
      </c>
      <c r="KFS19" s="174">
        <v>0.59</v>
      </c>
      <c r="KFT19" s="175">
        <v>0.59</v>
      </c>
      <c r="KFU19" s="175">
        <v>0.58</v>
      </c>
      <c r="KFV19" s="175">
        <v>0.57</v>
      </c>
      <c r="KFW19" s="175">
        <v>0.55</v>
      </c>
      <c r="KFX19" s="175">
        <v>0.53</v>
      </c>
      <c r="KFY19" s="157" t="s">
        <v>67</v>
      </c>
      <c r="KFZ19" s="157"/>
      <c r="KGA19" s="157"/>
      <c r="KGB19" s="173">
        <v>0.62</v>
      </c>
      <c r="KGC19" s="173">
        <v>0.61</v>
      </c>
      <c r="KGD19" s="173">
        <v>0.61</v>
      </c>
      <c r="KGE19" s="173">
        <v>0.61</v>
      </c>
      <c r="KGF19" s="173">
        <v>0.6</v>
      </c>
      <c r="KGG19" s="174">
        <v>0.6</v>
      </c>
      <c r="KGH19" s="173">
        <v>0.6</v>
      </c>
      <c r="KGI19" s="174">
        <v>0.59</v>
      </c>
      <c r="KGJ19" s="175">
        <v>0.59</v>
      </c>
      <c r="KGK19" s="175">
        <v>0.58</v>
      </c>
      <c r="KGL19" s="175">
        <v>0.57</v>
      </c>
      <c r="KGM19" s="175">
        <v>0.55</v>
      </c>
      <c r="KGN19" s="175">
        <v>0.53</v>
      </c>
      <c r="KGO19" s="157" t="s">
        <v>67</v>
      </c>
      <c r="KGP19" s="157"/>
      <c r="KGQ19" s="157"/>
      <c r="KGR19" s="173">
        <v>0.62</v>
      </c>
      <c r="KGS19" s="173">
        <v>0.61</v>
      </c>
      <c r="KGT19" s="173">
        <v>0.61</v>
      </c>
      <c r="KGU19" s="173">
        <v>0.61</v>
      </c>
      <c r="KGV19" s="173">
        <v>0.6</v>
      </c>
      <c r="KGW19" s="174">
        <v>0.6</v>
      </c>
      <c r="KGX19" s="173">
        <v>0.6</v>
      </c>
      <c r="KGY19" s="174">
        <v>0.59</v>
      </c>
      <c r="KGZ19" s="175">
        <v>0.59</v>
      </c>
      <c r="KHA19" s="175">
        <v>0.58</v>
      </c>
      <c r="KHB19" s="175">
        <v>0.57</v>
      </c>
      <c r="KHC19" s="175">
        <v>0.55</v>
      </c>
      <c r="KHD19" s="175">
        <v>0.53</v>
      </c>
      <c r="KHE19" s="157" t="s">
        <v>67</v>
      </c>
      <c r="KHF19" s="157"/>
      <c r="KHG19" s="157"/>
      <c r="KHH19" s="173">
        <v>0.62</v>
      </c>
      <c r="KHI19" s="173">
        <v>0.61</v>
      </c>
      <c r="KHJ19" s="173">
        <v>0.61</v>
      </c>
      <c r="KHK19" s="173">
        <v>0.61</v>
      </c>
      <c r="KHL19" s="173">
        <v>0.6</v>
      </c>
      <c r="KHM19" s="174">
        <v>0.6</v>
      </c>
      <c r="KHN19" s="173">
        <v>0.6</v>
      </c>
      <c r="KHO19" s="174">
        <v>0.59</v>
      </c>
      <c r="KHP19" s="175">
        <v>0.59</v>
      </c>
      <c r="KHQ19" s="175">
        <v>0.58</v>
      </c>
      <c r="KHR19" s="175">
        <v>0.57</v>
      </c>
      <c r="KHS19" s="175">
        <v>0.55</v>
      </c>
      <c r="KHT19" s="175">
        <v>0.53</v>
      </c>
      <c r="KHU19" s="157" t="s">
        <v>67</v>
      </c>
      <c r="KHV19" s="157"/>
      <c r="KHW19" s="157"/>
      <c r="KHX19" s="173">
        <v>0.62</v>
      </c>
      <c r="KHY19" s="173">
        <v>0.61</v>
      </c>
      <c r="KHZ19" s="173">
        <v>0.61</v>
      </c>
      <c r="KIA19" s="173">
        <v>0.61</v>
      </c>
      <c r="KIB19" s="173">
        <v>0.6</v>
      </c>
      <c r="KIC19" s="174">
        <v>0.6</v>
      </c>
      <c r="KID19" s="173">
        <v>0.6</v>
      </c>
      <c r="KIE19" s="174">
        <v>0.59</v>
      </c>
      <c r="KIF19" s="175">
        <v>0.59</v>
      </c>
      <c r="KIG19" s="175">
        <v>0.58</v>
      </c>
      <c r="KIH19" s="175">
        <v>0.57</v>
      </c>
      <c r="KII19" s="175">
        <v>0.55</v>
      </c>
      <c r="KIJ19" s="175">
        <v>0.53</v>
      </c>
      <c r="KIK19" s="157" t="s">
        <v>67</v>
      </c>
      <c r="KIL19" s="157"/>
      <c r="KIM19" s="157"/>
      <c r="KIN19" s="173">
        <v>0.62</v>
      </c>
      <c r="KIO19" s="173">
        <v>0.61</v>
      </c>
      <c r="KIP19" s="173">
        <v>0.61</v>
      </c>
      <c r="KIQ19" s="173">
        <v>0.61</v>
      </c>
      <c r="KIR19" s="173">
        <v>0.6</v>
      </c>
      <c r="KIS19" s="174">
        <v>0.6</v>
      </c>
      <c r="KIT19" s="173">
        <v>0.6</v>
      </c>
      <c r="KIU19" s="174">
        <v>0.59</v>
      </c>
      <c r="KIV19" s="175">
        <v>0.59</v>
      </c>
      <c r="KIW19" s="175">
        <v>0.58</v>
      </c>
      <c r="KIX19" s="175">
        <v>0.57</v>
      </c>
      <c r="KIY19" s="175">
        <v>0.55</v>
      </c>
      <c r="KIZ19" s="175">
        <v>0.53</v>
      </c>
      <c r="KJA19" s="157" t="s">
        <v>67</v>
      </c>
      <c r="KJB19" s="157"/>
      <c r="KJC19" s="157"/>
      <c r="KJD19" s="173">
        <v>0.62</v>
      </c>
      <c r="KJE19" s="173">
        <v>0.61</v>
      </c>
      <c r="KJF19" s="173">
        <v>0.61</v>
      </c>
      <c r="KJG19" s="173">
        <v>0.61</v>
      </c>
      <c r="KJH19" s="173">
        <v>0.6</v>
      </c>
      <c r="KJI19" s="174">
        <v>0.6</v>
      </c>
      <c r="KJJ19" s="173">
        <v>0.6</v>
      </c>
      <c r="KJK19" s="174">
        <v>0.59</v>
      </c>
      <c r="KJL19" s="175">
        <v>0.59</v>
      </c>
      <c r="KJM19" s="175">
        <v>0.58</v>
      </c>
      <c r="KJN19" s="175">
        <v>0.57</v>
      </c>
      <c r="KJO19" s="175">
        <v>0.55</v>
      </c>
      <c r="KJP19" s="175">
        <v>0.53</v>
      </c>
      <c r="KJQ19" s="157" t="s">
        <v>67</v>
      </c>
      <c r="KJR19" s="157"/>
      <c r="KJS19" s="157"/>
      <c r="KJT19" s="173">
        <v>0.62</v>
      </c>
      <c r="KJU19" s="173">
        <v>0.61</v>
      </c>
      <c r="KJV19" s="173">
        <v>0.61</v>
      </c>
      <c r="KJW19" s="173">
        <v>0.61</v>
      </c>
      <c r="KJX19" s="173">
        <v>0.6</v>
      </c>
      <c r="KJY19" s="174">
        <v>0.6</v>
      </c>
      <c r="KJZ19" s="173">
        <v>0.6</v>
      </c>
      <c r="KKA19" s="174">
        <v>0.59</v>
      </c>
      <c r="KKB19" s="175">
        <v>0.59</v>
      </c>
      <c r="KKC19" s="175">
        <v>0.58</v>
      </c>
      <c r="KKD19" s="175">
        <v>0.57</v>
      </c>
      <c r="KKE19" s="175">
        <v>0.55</v>
      </c>
      <c r="KKF19" s="175">
        <v>0.53</v>
      </c>
      <c r="KKG19" s="157" t="s">
        <v>67</v>
      </c>
      <c r="KKH19" s="157"/>
      <c r="KKI19" s="157"/>
      <c r="KKJ19" s="173">
        <v>0.62</v>
      </c>
      <c r="KKK19" s="173">
        <v>0.61</v>
      </c>
      <c r="KKL19" s="173">
        <v>0.61</v>
      </c>
      <c r="KKM19" s="173">
        <v>0.61</v>
      </c>
      <c r="KKN19" s="173">
        <v>0.6</v>
      </c>
      <c r="KKO19" s="174">
        <v>0.6</v>
      </c>
      <c r="KKP19" s="173">
        <v>0.6</v>
      </c>
      <c r="KKQ19" s="174">
        <v>0.59</v>
      </c>
      <c r="KKR19" s="175">
        <v>0.59</v>
      </c>
      <c r="KKS19" s="175">
        <v>0.58</v>
      </c>
      <c r="KKT19" s="175">
        <v>0.57</v>
      </c>
      <c r="KKU19" s="175">
        <v>0.55</v>
      </c>
      <c r="KKV19" s="175">
        <v>0.53</v>
      </c>
      <c r="KKW19" s="157" t="s">
        <v>67</v>
      </c>
      <c r="KKX19" s="157"/>
      <c r="KKY19" s="157"/>
      <c r="KKZ19" s="173">
        <v>0.62</v>
      </c>
      <c r="KLA19" s="173">
        <v>0.61</v>
      </c>
      <c r="KLB19" s="173">
        <v>0.61</v>
      </c>
      <c r="KLC19" s="173">
        <v>0.61</v>
      </c>
      <c r="KLD19" s="173">
        <v>0.6</v>
      </c>
      <c r="KLE19" s="174">
        <v>0.6</v>
      </c>
      <c r="KLF19" s="173">
        <v>0.6</v>
      </c>
      <c r="KLG19" s="174">
        <v>0.59</v>
      </c>
      <c r="KLH19" s="175">
        <v>0.59</v>
      </c>
      <c r="KLI19" s="175">
        <v>0.58</v>
      </c>
      <c r="KLJ19" s="175">
        <v>0.57</v>
      </c>
      <c r="KLK19" s="175">
        <v>0.55</v>
      </c>
      <c r="KLL19" s="175">
        <v>0.53</v>
      </c>
      <c r="KLM19" s="157" t="s">
        <v>67</v>
      </c>
      <c r="KLN19" s="157"/>
      <c r="KLO19" s="157"/>
      <c r="KLP19" s="173">
        <v>0.62</v>
      </c>
      <c r="KLQ19" s="173">
        <v>0.61</v>
      </c>
      <c r="KLR19" s="173">
        <v>0.61</v>
      </c>
      <c r="KLS19" s="173">
        <v>0.61</v>
      </c>
      <c r="KLT19" s="173">
        <v>0.6</v>
      </c>
      <c r="KLU19" s="174">
        <v>0.6</v>
      </c>
      <c r="KLV19" s="173">
        <v>0.6</v>
      </c>
      <c r="KLW19" s="174">
        <v>0.59</v>
      </c>
      <c r="KLX19" s="175">
        <v>0.59</v>
      </c>
      <c r="KLY19" s="175">
        <v>0.58</v>
      </c>
      <c r="KLZ19" s="175">
        <v>0.57</v>
      </c>
      <c r="KMA19" s="175">
        <v>0.55</v>
      </c>
      <c r="KMB19" s="175">
        <v>0.53</v>
      </c>
      <c r="KMC19" s="157" t="s">
        <v>67</v>
      </c>
      <c r="KMD19" s="157"/>
      <c r="KME19" s="157"/>
      <c r="KMF19" s="173">
        <v>0.62</v>
      </c>
      <c r="KMG19" s="173">
        <v>0.61</v>
      </c>
      <c r="KMH19" s="173">
        <v>0.61</v>
      </c>
      <c r="KMI19" s="173">
        <v>0.61</v>
      </c>
      <c r="KMJ19" s="173">
        <v>0.6</v>
      </c>
      <c r="KMK19" s="174">
        <v>0.6</v>
      </c>
      <c r="KML19" s="173">
        <v>0.6</v>
      </c>
      <c r="KMM19" s="174">
        <v>0.59</v>
      </c>
      <c r="KMN19" s="175">
        <v>0.59</v>
      </c>
      <c r="KMO19" s="175">
        <v>0.58</v>
      </c>
      <c r="KMP19" s="175">
        <v>0.57</v>
      </c>
      <c r="KMQ19" s="175">
        <v>0.55</v>
      </c>
      <c r="KMR19" s="175">
        <v>0.53</v>
      </c>
      <c r="KMS19" s="157" t="s">
        <v>67</v>
      </c>
      <c r="KMT19" s="157"/>
      <c r="KMU19" s="157"/>
      <c r="KMV19" s="173">
        <v>0.62</v>
      </c>
      <c r="KMW19" s="173">
        <v>0.61</v>
      </c>
      <c r="KMX19" s="173">
        <v>0.61</v>
      </c>
      <c r="KMY19" s="173">
        <v>0.61</v>
      </c>
      <c r="KMZ19" s="173">
        <v>0.6</v>
      </c>
      <c r="KNA19" s="174">
        <v>0.6</v>
      </c>
      <c r="KNB19" s="173">
        <v>0.6</v>
      </c>
      <c r="KNC19" s="174">
        <v>0.59</v>
      </c>
      <c r="KND19" s="175">
        <v>0.59</v>
      </c>
      <c r="KNE19" s="175">
        <v>0.58</v>
      </c>
      <c r="KNF19" s="175">
        <v>0.57</v>
      </c>
      <c r="KNG19" s="175">
        <v>0.55</v>
      </c>
      <c r="KNH19" s="175">
        <v>0.53</v>
      </c>
      <c r="KNI19" s="157" t="s">
        <v>67</v>
      </c>
      <c r="KNJ19" s="157"/>
      <c r="KNK19" s="157"/>
      <c r="KNL19" s="173">
        <v>0.62</v>
      </c>
      <c r="KNM19" s="173">
        <v>0.61</v>
      </c>
      <c r="KNN19" s="173">
        <v>0.61</v>
      </c>
      <c r="KNO19" s="173">
        <v>0.61</v>
      </c>
      <c r="KNP19" s="173">
        <v>0.6</v>
      </c>
      <c r="KNQ19" s="174">
        <v>0.6</v>
      </c>
      <c r="KNR19" s="173">
        <v>0.6</v>
      </c>
      <c r="KNS19" s="174">
        <v>0.59</v>
      </c>
      <c r="KNT19" s="175">
        <v>0.59</v>
      </c>
      <c r="KNU19" s="175">
        <v>0.58</v>
      </c>
      <c r="KNV19" s="175">
        <v>0.57</v>
      </c>
      <c r="KNW19" s="175">
        <v>0.55</v>
      </c>
      <c r="KNX19" s="175">
        <v>0.53</v>
      </c>
      <c r="KNY19" s="157" t="s">
        <v>67</v>
      </c>
      <c r="KNZ19" s="157"/>
      <c r="KOA19" s="157"/>
      <c r="KOB19" s="173">
        <v>0.62</v>
      </c>
      <c r="KOC19" s="173">
        <v>0.61</v>
      </c>
      <c r="KOD19" s="173">
        <v>0.61</v>
      </c>
      <c r="KOE19" s="173">
        <v>0.61</v>
      </c>
      <c r="KOF19" s="173">
        <v>0.6</v>
      </c>
      <c r="KOG19" s="174">
        <v>0.6</v>
      </c>
      <c r="KOH19" s="173">
        <v>0.6</v>
      </c>
      <c r="KOI19" s="174">
        <v>0.59</v>
      </c>
      <c r="KOJ19" s="175">
        <v>0.59</v>
      </c>
      <c r="KOK19" s="175">
        <v>0.58</v>
      </c>
      <c r="KOL19" s="175">
        <v>0.57</v>
      </c>
      <c r="KOM19" s="175">
        <v>0.55</v>
      </c>
      <c r="KON19" s="175">
        <v>0.53</v>
      </c>
      <c r="KOO19" s="157" t="s">
        <v>67</v>
      </c>
      <c r="KOP19" s="157"/>
      <c r="KOQ19" s="157"/>
      <c r="KOR19" s="173">
        <v>0.62</v>
      </c>
      <c r="KOS19" s="173">
        <v>0.61</v>
      </c>
      <c r="KOT19" s="173">
        <v>0.61</v>
      </c>
      <c r="KOU19" s="173">
        <v>0.61</v>
      </c>
      <c r="KOV19" s="173">
        <v>0.6</v>
      </c>
      <c r="KOW19" s="174">
        <v>0.6</v>
      </c>
      <c r="KOX19" s="173">
        <v>0.6</v>
      </c>
      <c r="KOY19" s="174">
        <v>0.59</v>
      </c>
      <c r="KOZ19" s="175">
        <v>0.59</v>
      </c>
      <c r="KPA19" s="175">
        <v>0.58</v>
      </c>
      <c r="KPB19" s="175">
        <v>0.57</v>
      </c>
      <c r="KPC19" s="175">
        <v>0.55</v>
      </c>
      <c r="KPD19" s="175">
        <v>0.53</v>
      </c>
      <c r="KPE19" s="157" t="s">
        <v>67</v>
      </c>
      <c r="KPF19" s="157"/>
      <c r="KPG19" s="157"/>
      <c r="KPH19" s="173">
        <v>0.62</v>
      </c>
      <c r="KPI19" s="173">
        <v>0.61</v>
      </c>
      <c r="KPJ19" s="173">
        <v>0.61</v>
      </c>
      <c r="KPK19" s="173">
        <v>0.61</v>
      </c>
      <c r="KPL19" s="173">
        <v>0.6</v>
      </c>
      <c r="KPM19" s="174">
        <v>0.6</v>
      </c>
      <c r="KPN19" s="173">
        <v>0.6</v>
      </c>
      <c r="KPO19" s="174">
        <v>0.59</v>
      </c>
      <c r="KPP19" s="175">
        <v>0.59</v>
      </c>
      <c r="KPQ19" s="175">
        <v>0.58</v>
      </c>
      <c r="KPR19" s="175">
        <v>0.57</v>
      </c>
      <c r="KPS19" s="175">
        <v>0.55</v>
      </c>
      <c r="KPT19" s="175">
        <v>0.53</v>
      </c>
      <c r="KPU19" s="157" t="s">
        <v>67</v>
      </c>
      <c r="KPV19" s="157"/>
      <c r="KPW19" s="157"/>
      <c r="KPX19" s="173">
        <v>0.62</v>
      </c>
      <c r="KPY19" s="173">
        <v>0.61</v>
      </c>
      <c r="KPZ19" s="173">
        <v>0.61</v>
      </c>
      <c r="KQA19" s="173">
        <v>0.61</v>
      </c>
      <c r="KQB19" s="173">
        <v>0.6</v>
      </c>
      <c r="KQC19" s="174">
        <v>0.6</v>
      </c>
      <c r="KQD19" s="173">
        <v>0.6</v>
      </c>
      <c r="KQE19" s="174">
        <v>0.59</v>
      </c>
      <c r="KQF19" s="175">
        <v>0.59</v>
      </c>
      <c r="KQG19" s="175">
        <v>0.58</v>
      </c>
      <c r="KQH19" s="175">
        <v>0.57</v>
      </c>
      <c r="KQI19" s="175">
        <v>0.55</v>
      </c>
      <c r="KQJ19" s="175">
        <v>0.53</v>
      </c>
      <c r="KQK19" s="157" t="s">
        <v>67</v>
      </c>
      <c r="KQL19" s="157"/>
      <c r="KQM19" s="157"/>
      <c r="KQN19" s="173">
        <v>0.62</v>
      </c>
      <c r="KQO19" s="173">
        <v>0.61</v>
      </c>
      <c r="KQP19" s="173">
        <v>0.61</v>
      </c>
      <c r="KQQ19" s="173">
        <v>0.61</v>
      </c>
      <c r="KQR19" s="173">
        <v>0.6</v>
      </c>
      <c r="KQS19" s="174">
        <v>0.6</v>
      </c>
      <c r="KQT19" s="173">
        <v>0.6</v>
      </c>
      <c r="KQU19" s="174">
        <v>0.59</v>
      </c>
      <c r="KQV19" s="175">
        <v>0.59</v>
      </c>
      <c r="KQW19" s="175">
        <v>0.58</v>
      </c>
      <c r="KQX19" s="175">
        <v>0.57</v>
      </c>
      <c r="KQY19" s="175">
        <v>0.55</v>
      </c>
      <c r="KQZ19" s="175">
        <v>0.53</v>
      </c>
      <c r="KRA19" s="157" t="s">
        <v>67</v>
      </c>
      <c r="KRB19" s="157"/>
      <c r="KRC19" s="157"/>
      <c r="KRD19" s="173">
        <v>0.62</v>
      </c>
      <c r="KRE19" s="173">
        <v>0.61</v>
      </c>
      <c r="KRF19" s="173">
        <v>0.61</v>
      </c>
      <c r="KRG19" s="173">
        <v>0.61</v>
      </c>
      <c r="KRH19" s="173">
        <v>0.6</v>
      </c>
      <c r="KRI19" s="174">
        <v>0.6</v>
      </c>
      <c r="KRJ19" s="173">
        <v>0.6</v>
      </c>
      <c r="KRK19" s="174">
        <v>0.59</v>
      </c>
      <c r="KRL19" s="175">
        <v>0.59</v>
      </c>
      <c r="KRM19" s="175">
        <v>0.58</v>
      </c>
      <c r="KRN19" s="175">
        <v>0.57</v>
      </c>
      <c r="KRO19" s="175">
        <v>0.55</v>
      </c>
      <c r="KRP19" s="175">
        <v>0.53</v>
      </c>
      <c r="KRQ19" s="157" t="s">
        <v>67</v>
      </c>
      <c r="KRR19" s="157"/>
      <c r="KRS19" s="157"/>
      <c r="KRT19" s="173">
        <v>0.62</v>
      </c>
      <c r="KRU19" s="173">
        <v>0.61</v>
      </c>
      <c r="KRV19" s="173">
        <v>0.61</v>
      </c>
      <c r="KRW19" s="173">
        <v>0.61</v>
      </c>
      <c r="KRX19" s="173">
        <v>0.6</v>
      </c>
      <c r="KRY19" s="174">
        <v>0.6</v>
      </c>
      <c r="KRZ19" s="173">
        <v>0.6</v>
      </c>
      <c r="KSA19" s="174">
        <v>0.59</v>
      </c>
      <c r="KSB19" s="175">
        <v>0.59</v>
      </c>
      <c r="KSC19" s="175">
        <v>0.58</v>
      </c>
      <c r="KSD19" s="175">
        <v>0.57</v>
      </c>
      <c r="KSE19" s="175">
        <v>0.55</v>
      </c>
      <c r="KSF19" s="175">
        <v>0.53</v>
      </c>
      <c r="KSG19" s="157" t="s">
        <v>67</v>
      </c>
      <c r="KSH19" s="157"/>
      <c r="KSI19" s="157"/>
      <c r="KSJ19" s="173">
        <v>0.62</v>
      </c>
      <c r="KSK19" s="173">
        <v>0.61</v>
      </c>
      <c r="KSL19" s="173">
        <v>0.61</v>
      </c>
      <c r="KSM19" s="173">
        <v>0.61</v>
      </c>
      <c r="KSN19" s="173">
        <v>0.6</v>
      </c>
      <c r="KSO19" s="174">
        <v>0.6</v>
      </c>
      <c r="KSP19" s="173">
        <v>0.6</v>
      </c>
      <c r="KSQ19" s="174">
        <v>0.59</v>
      </c>
      <c r="KSR19" s="175">
        <v>0.59</v>
      </c>
      <c r="KSS19" s="175">
        <v>0.58</v>
      </c>
      <c r="KST19" s="175">
        <v>0.57</v>
      </c>
      <c r="KSU19" s="175">
        <v>0.55</v>
      </c>
      <c r="KSV19" s="175">
        <v>0.53</v>
      </c>
      <c r="KSW19" s="157" t="s">
        <v>67</v>
      </c>
      <c r="KSX19" s="157"/>
      <c r="KSY19" s="157"/>
      <c r="KSZ19" s="173">
        <v>0.62</v>
      </c>
      <c r="KTA19" s="173">
        <v>0.61</v>
      </c>
      <c r="KTB19" s="173">
        <v>0.61</v>
      </c>
      <c r="KTC19" s="173">
        <v>0.61</v>
      </c>
      <c r="KTD19" s="173">
        <v>0.6</v>
      </c>
      <c r="KTE19" s="174">
        <v>0.6</v>
      </c>
      <c r="KTF19" s="173">
        <v>0.6</v>
      </c>
      <c r="KTG19" s="174">
        <v>0.59</v>
      </c>
      <c r="KTH19" s="175">
        <v>0.59</v>
      </c>
      <c r="KTI19" s="175">
        <v>0.58</v>
      </c>
      <c r="KTJ19" s="175">
        <v>0.57</v>
      </c>
      <c r="KTK19" s="175">
        <v>0.55</v>
      </c>
      <c r="KTL19" s="175">
        <v>0.53</v>
      </c>
      <c r="KTM19" s="157" t="s">
        <v>67</v>
      </c>
      <c r="KTN19" s="157"/>
      <c r="KTO19" s="157"/>
      <c r="KTP19" s="173">
        <v>0.62</v>
      </c>
      <c r="KTQ19" s="173">
        <v>0.61</v>
      </c>
      <c r="KTR19" s="173">
        <v>0.61</v>
      </c>
      <c r="KTS19" s="173">
        <v>0.61</v>
      </c>
      <c r="KTT19" s="173">
        <v>0.6</v>
      </c>
      <c r="KTU19" s="174">
        <v>0.6</v>
      </c>
      <c r="KTV19" s="173">
        <v>0.6</v>
      </c>
      <c r="KTW19" s="174">
        <v>0.59</v>
      </c>
      <c r="KTX19" s="175">
        <v>0.59</v>
      </c>
      <c r="KTY19" s="175">
        <v>0.58</v>
      </c>
      <c r="KTZ19" s="175">
        <v>0.57</v>
      </c>
      <c r="KUA19" s="175">
        <v>0.55</v>
      </c>
      <c r="KUB19" s="175">
        <v>0.53</v>
      </c>
      <c r="KUC19" s="157" t="s">
        <v>67</v>
      </c>
      <c r="KUD19" s="157"/>
      <c r="KUE19" s="157"/>
      <c r="KUF19" s="173">
        <v>0.62</v>
      </c>
      <c r="KUG19" s="173">
        <v>0.61</v>
      </c>
      <c r="KUH19" s="173">
        <v>0.61</v>
      </c>
      <c r="KUI19" s="173">
        <v>0.61</v>
      </c>
      <c r="KUJ19" s="173">
        <v>0.6</v>
      </c>
      <c r="KUK19" s="174">
        <v>0.6</v>
      </c>
      <c r="KUL19" s="173">
        <v>0.6</v>
      </c>
      <c r="KUM19" s="174">
        <v>0.59</v>
      </c>
      <c r="KUN19" s="175">
        <v>0.59</v>
      </c>
      <c r="KUO19" s="175">
        <v>0.58</v>
      </c>
      <c r="KUP19" s="175">
        <v>0.57</v>
      </c>
      <c r="KUQ19" s="175">
        <v>0.55</v>
      </c>
      <c r="KUR19" s="175">
        <v>0.53</v>
      </c>
      <c r="KUS19" s="157" t="s">
        <v>67</v>
      </c>
      <c r="KUT19" s="157"/>
      <c r="KUU19" s="157"/>
      <c r="KUV19" s="173">
        <v>0.62</v>
      </c>
      <c r="KUW19" s="173">
        <v>0.61</v>
      </c>
      <c r="KUX19" s="173">
        <v>0.61</v>
      </c>
      <c r="KUY19" s="173">
        <v>0.61</v>
      </c>
      <c r="KUZ19" s="173">
        <v>0.6</v>
      </c>
      <c r="KVA19" s="174">
        <v>0.6</v>
      </c>
      <c r="KVB19" s="173">
        <v>0.6</v>
      </c>
      <c r="KVC19" s="174">
        <v>0.59</v>
      </c>
      <c r="KVD19" s="175">
        <v>0.59</v>
      </c>
      <c r="KVE19" s="175">
        <v>0.58</v>
      </c>
      <c r="KVF19" s="175">
        <v>0.57</v>
      </c>
      <c r="KVG19" s="175">
        <v>0.55</v>
      </c>
      <c r="KVH19" s="175">
        <v>0.53</v>
      </c>
      <c r="KVI19" s="157" t="s">
        <v>67</v>
      </c>
      <c r="KVJ19" s="157"/>
      <c r="KVK19" s="157"/>
      <c r="KVL19" s="173">
        <v>0.62</v>
      </c>
      <c r="KVM19" s="173">
        <v>0.61</v>
      </c>
      <c r="KVN19" s="173">
        <v>0.61</v>
      </c>
      <c r="KVO19" s="173">
        <v>0.61</v>
      </c>
      <c r="KVP19" s="173">
        <v>0.6</v>
      </c>
      <c r="KVQ19" s="174">
        <v>0.6</v>
      </c>
      <c r="KVR19" s="173">
        <v>0.6</v>
      </c>
      <c r="KVS19" s="174">
        <v>0.59</v>
      </c>
      <c r="KVT19" s="175">
        <v>0.59</v>
      </c>
      <c r="KVU19" s="175">
        <v>0.58</v>
      </c>
      <c r="KVV19" s="175">
        <v>0.57</v>
      </c>
      <c r="KVW19" s="175">
        <v>0.55</v>
      </c>
      <c r="KVX19" s="175">
        <v>0.53</v>
      </c>
      <c r="KVY19" s="157" t="s">
        <v>67</v>
      </c>
      <c r="KVZ19" s="157"/>
      <c r="KWA19" s="157"/>
      <c r="KWB19" s="173">
        <v>0.62</v>
      </c>
      <c r="KWC19" s="173">
        <v>0.61</v>
      </c>
      <c r="KWD19" s="173">
        <v>0.61</v>
      </c>
      <c r="KWE19" s="173">
        <v>0.61</v>
      </c>
      <c r="KWF19" s="173">
        <v>0.6</v>
      </c>
      <c r="KWG19" s="174">
        <v>0.6</v>
      </c>
      <c r="KWH19" s="173">
        <v>0.6</v>
      </c>
      <c r="KWI19" s="174">
        <v>0.59</v>
      </c>
      <c r="KWJ19" s="175">
        <v>0.59</v>
      </c>
      <c r="KWK19" s="175">
        <v>0.58</v>
      </c>
      <c r="KWL19" s="175">
        <v>0.57</v>
      </c>
      <c r="KWM19" s="175">
        <v>0.55</v>
      </c>
      <c r="KWN19" s="175">
        <v>0.53</v>
      </c>
      <c r="KWO19" s="157" t="s">
        <v>67</v>
      </c>
      <c r="KWP19" s="157"/>
      <c r="KWQ19" s="157"/>
      <c r="KWR19" s="173">
        <v>0.62</v>
      </c>
      <c r="KWS19" s="173">
        <v>0.61</v>
      </c>
      <c r="KWT19" s="173">
        <v>0.61</v>
      </c>
      <c r="KWU19" s="173">
        <v>0.61</v>
      </c>
      <c r="KWV19" s="173">
        <v>0.6</v>
      </c>
      <c r="KWW19" s="174">
        <v>0.6</v>
      </c>
      <c r="KWX19" s="173">
        <v>0.6</v>
      </c>
      <c r="KWY19" s="174">
        <v>0.59</v>
      </c>
      <c r="KWZ19" s="175">
        <v>0.59</v>
      </c>
      <c r="KXA19" s="175">
        <v>0.58</v>
      </c>
      <c r="KXB19" s="175">
        <v>0.57</v>
      </c>
      <c r="KXC19" s="175">
        <v>0.55</v>
      </c>
      <c r="KXD19" s="175">
        <v>0.53</v>
      </c>
      <c r="KXE19" s="157" t="s">
        <v>67</v>
      </c>
      <c r="KXF19" s="157"/>
      <c r="KXG19" s="157"/>
      <c r="KXH19" s="173">
        <v>0.62</v>
      </c>
      <c r="KXI19" s="173">
        <v>0.61</v>
      </c>
      <c r="KXJ19" s="173">
        <v>0.61</v>
      </c>
      <c r="KXK19" s="173">
        <v>0.61</v>
      </c>
      <c r="KXL19" s="173">
        <v>0.6</v>
      </c>
      <c r="KXM19" s="174">
        <v>0.6</v>
      </c>
      <c r="KXN19" s="173">
        <v>0.6</v>
      </c>
      <c r="KXO19" s="174">
        <v>0.59</v>
      </c>
      <c r="KXP19" s="175">
        <v>0.59</v>
      </c>
      <c r="KXQ19" s="175">
        <v>0.58</v>
      </c>
      <c r="KXR19" s="175">
        <v>0.57</v>
      </c>
      <c r="KXS19" s="175">
        <v>0.55</v>
      </c>
      <c r="KXT19" s="175">
        <v>0.53</v>
      </c>
      <c r="KXU19" s="157" t="s">
        <v>67</v>
      </c>
      <c r="KXV19" s="157"/>
      <c r="KXW19" s="157"/>
      <c r="KXX19" s="173">
        <v>0.62</v>
      </c>
      <c r="KXY19" s="173">
        <v>0.61</v>
      </c>
      <c r="KXZ19" s="173">
        <v>0.61</v>
      </c>
      <c r="KYA19" s="173">
        <v>0.61</v>
      </c>
      <c r="KYB19" s="173">
        <v>0.6</v>
      </c>
      <c r="KYC19" s="174">
        <v>0.6</v>
      </c>
      <c r="KYD19" s="173">
        <v>0.6</v>
      </c>
      <c r="KYE19" s="174">
        <v>0.59</v>
      </c>
      <c r="KYF19" s="175">
        <v>0.59</v>
      </c>
      <c r="KYG19" s="175">
        <v>0.58</v>
      </c>
      <c r="KYH19" s="175">
        <v>0.57</v>
      </c>
      <c r="KYI19" s="175">
        <v>0.55</v>
      </c>
      <c r="KYJ19" s="175">
        <v>0.53</v>
      </c>
      <c r="KYK19" s="157" t="s">
        <v>67</v>
      </c>
      <c r="KYL19" s="157"/>
      <c r="KYM19" s="157"/>
      <c r="KYN19" s="173">
        <v>0.62</v>
      </c>
      <c r="KYO19" s="173">
        <v>0.61</v>
      </c>
      <c r="KYP19" s="173">
        <v>0.61</v>
      </c>
      <c r="KYQ19" s="173">
        <v>0.61</v>
      </c>
      <c r="KYR19" s="173">
        <v>0.6</v>
      </c>
      <c r="KYS19" s="174">
        <v>0.6</v>
      </c>
      <c r="KYT19" s="173">
        <v>0.6</v>
      </c>
      <c r="KYU19" s="174">
        <v>0.59</v>
      </c>
      <c r="KYV19" s="175">
        <v>0.59</v>
      </c>
      <c r="KYW19" s="175">
        <v>0.58</v>
      </c>
      <c r="KYX19" s="175">
        <v>0.57</v>
      </c>
      <c r="KYY19" s="175">
        <v>0.55</v>
      </c>
      <c r="KYZ19" s="175">
        <v>0.53</v>
      </c>
      <c r="KZA19" s="157" t="s">
        <v>67</v>
      </c>
      <c r="KZB19" s="157"/>
      <c r="KZC19" s="157"/>
      <c r="KZD19" s="173">
        <v>0.62</v>
      </c>
      <c r="KZE19" s="173">
        <v>0.61</v>
      </c>
      <c r="KZF19" s="173">
        <v>0.61</v>
      </c>
      <c r="KZG19" s="173">
        <v>0.61</v>
      </c>
      <c r="KZH19" s="173">
        <v>0.6</v>
      </c>
      <c r="KZI19" s="174">
        <v>0.6</v>
      </c>
      <c r="KZJ19" s="173">
        <v>0.6</v>
      </c>
      <c r="KZK19" s="174">
        <v>0.59</v>
      </c>
      <c r="KZL19" s="175">
        <v>0.59</v>
      </c>
      <c r="KZM19" s="175">
        <v>0.58</v>
      </c>
      <c r="KZN19" s="175">
        <v>0.57</v>
      </c>
      <c r="KZO19" s="175">
        <v>0.55</v>
      </c>
      <c r="KZP19" s="175">
        <v>0.53</v>
      </c>
      <c r="KZQ19" s="157" t="s">
        <v>67</v>
      </c>
      <c r="KZR19" s="157"/>
      <c r="KZS19" s="157"/>
      <c r="KZT19" s="173">
        <v>0.62</v>
      </c>
      <c r="KZU19" s="173">
        <v>0.61</v>
      </c>
      <c r="KZV19" s="173">
        <v>0.61</v>
      </c>
      <c r="KZW19" s="173">
        <v>0.61</v>
      </c>
      <c r="KZX19" s="173">
        <v>0.6</v>
      </c>
      <c r="KZY19" s="174">
        <v>0.6</v>
      </c>
      <c r="KZZ19" s="173">
        <v>0.6</v>
      </c>
      <c r="LAA19" s="174">
        <v>0.59</v>
      </c>
      <c r="LAB19" s="175">
        <v>0.59</v>
      </c>
      <c r="LAC19" s="175">
        <v>0.58</v>
      </c>
      <c r="LAD19" s="175">
        <v>0.57</v>
      </c>
      <c r="LAE19" s="175">
        <v>0.55</v>
      </c>
      <c r="LAF19" s="175">
        <v>0.53</v>
      </c>
      <c r="LAG19" s="157" t="s">
        <v>67</v>
      </c>
      <c r="LAH19" s="157"/>
      <c r="LAI19" s="157"/>
      <c r="LAJ19" s="173">
        <v>0.62</v>
      </c>
      <c r="LAK19" s="173">
        <v>0.61</v>
      </c>
      <c r="LAL19" s="173">
        <v>0.61</v>
      </c>
      <c r="LAM19" s="173">
        <v>0.61</v>
      </c>
      <c r="LAN19" s="173">
        <v>0.6</v>
      </c>
      <c r="LAO19" s="174">
        <v>0.6</v>
      </c>
      <c r="LAP19" s="173">
        <v>0.6</v>
      </c>
      <c r="LAQ19" s="174">
        <v>0.59</v>
      </c>
      <c r="LAR19" s="175">
        <v>0.59</v>
      </c>
      <c r="LAS19" s="175">
        <v>0.58</v>
      </c>
      <c r="LAT19" s="175">
        <v>0.57</v>
      </c>
      <c r="LAU19" s="175">
        <v>0.55</v>
      </c>
      <c r="LAV19" s="175">
        <v>0.53</v>
      </c>
      <c r="LAW19" s="157" t="s">
        <v>67</v>
      </c>
      <c r="LAX19" s="157"/>
      <c r="LAY19" s="157"/>
      <c r="LAZ19" s="173">
        <v>0.62</v>
      </c>
      <c r="LBA19" s="173">
        <v>0.61</v>
      </c>
      <c r="LBB19" s="173">
        <v>0.61</v>
      </c>
      <c r="LBC19" s="173">
        <v>0.61</v>
      </c>
      <c r="LBD19" s="173">
        <v>0.6</v>
      </c>
      <c r="LBE19" s="174">
        <v>0.6</v>
      </c>
      <c r="LBF19" s="173">
        <v>0.6</v>
      </c>
      <c r="LBG19" s="174">
        <v>0.59</v>
      </c>
      <c r="LBH19" s="175">
        <v>0.59</v>
      </c>
      <c r="LBI19" s="175">
        <v>0.58</v>
      </c>
      <c r="LBJ19" s="175">
        <v>0.57</v>
      </c>
      <c r="LBK19" s="175">
        <v>0.55</v>
      </c>
      <c r="LBL19" s="175">
        <v>0.53</v>
      </c>
      <c r="LBM19" s="157" t="s">
        <v>67</v>
      </c>
      <c r="LBN19" s="157"/>
      <c r="LBO19" s="157"/>
      <c r="LBP19" s="173">
        <v>0.62</v>
      </c>
      <c r="LBQ19" s="173">
        <v>0.61</v>
      </c>
      <c r="LBR19" s="173">
        <v>0.61</v>
      </c>
      <c r="LBS19" s="173">
        <v>0.61</v>
      </c>
      <c r="LBT19" s="173">
        <v>0.6</v>
      </c>
      <c r="LBU19" s="174">
        <v>0.6</v>
      </c>
      <c r="LBV19" s="173">
        <v>0.6</v>
      </c>
      <c r="LBW19" s="174">
        <v>0.59</v>
      </c>
      <c r="LBX19" s="175">
        <v>0.59</v>
      </c>
      <c r="LBY19" s="175">
        <v>0.58</v>
      </c>
      <c r="LBZ19" s="175">
        <v>0.57</v>
      </c>
      <c r="LCA19" s="175">
        <v>0.55</v>
      </c>
      <c r="LCB19" s="175">
        <v>0.53</v>
      </c>
      <c r="LCC19" s="157" t="s">
        <v>67</v>
      </c>
      <c r="LCD19" s="157"/>
      <c r="LCE19" s="157"/>
      <c r="LCF19" s="173">
        <v>0.62</v>
      </c>
      <c r="LCG19" s="173">
        <v>0.61</v>
      </c>
      <c r="LCH19" s="173">
        <v>0.61</v>
      </c>
      <c r="LCI19" s="173">
        <v>0.61</v>
      </c>
      <c r="LCJ19" s="173">
        <v>0.6</v>
      </c>
      <c r="LCK19" s="174">
        <v>0.6</v>
      </c>
      <c r="LCL19" s="173">
        <v>0.6</v>
      </c>
      <c r="LCM19" s="174">
        <v>0.59</v>
      </c>
      <c r="LCN19" s="175">
        <v>0.59</v>
      </c>
      <c r="LCO19" s="175">
        <v>0.58</v>
      </c>
      <c r="LCP19" s="175">
        <v>0.57</v>
      </c>
      <c r="LCQ19" s="175">
        <v>0.55</v>
      </c>
      <c r="LCR19" s="175">
        <v>0.53</v>
      </c>
      <c r="LCS19" s="157" t="s">
        <v>67</v>
      </c>
      <c r="LCT19" s="157"/>
      <c r="LCU19" s="157"/>
      <c r="LCV19" s="173">
        <v>0.62</v>
      </c>
      <c r="LCW19" s="173">
        <v>0.61</v>
      </c>
      <c r="LCX19" s="173">
        <v>0.61</v>
      </c>
      <c r="LCY19" s="173">
        <v>0.61</v>
      </c>
      <c r="LCZ19" s="173">
        <v>0.6</v>
      </c>
      <c r="LDA19" s="174">
        <v>0.6</v>
      </c>
      <c r="LDB19" s="173">
        <v>0.6</v>
      </c>
      <c r="LDC19" s="174">
        <v>0.59</v>
      </c>
      <c r="LDD19" s="175">
        <v>0.59</v>
      </c>
      <c r="LDE19" s="175">
        <v>0.58</v>
      </c>
      <c r="LDF19" s="175">
        <v>0.57</v>
      </c>
      <c r="LDG19" s="175">
        <v>0.55</v>
      </c>
      <c r="LDH19" s="175">
        <v>0.53</v>
      </c>
      <c r="LDI19" s="157" t="s">
        <v>67</v>
      </c>
      <c r="LDJ19" s="157"/>
      <c r="LDK19" s="157"/>
      <c r="LDL19" s="173">
        <v>0.62</v>
      </c>
      <c r="LDM19" s="173">
        <v>0.61</v>
      </c>
      <c r="LDN19" s="173">
        <v>0.61</v>
      </c>
      <c r="LDO19" s="173">
        <v>0.61</v>
      </c>
      <c r="LDP19" s="173">
        <v>0.6</v>
      </c>
      <c r="LDQ19" s="174">
        <v>0.6</v>
      </c>
      <c r="LDR19" s="173">
        <v>0.6</v>
      </c>
      <c r="LDS19" s="174">
        <v>0.59</v>
      </c>
      <c r="LDT19" s="175">
        <v>0.59</v>
      </c>
      <c r="LDU19" s="175">
        <v>0.58</v>
      </c>
      <c r="LDV19" s="175">
        <v>0.57</v>
      </c>
      <c r="LDW19" s="175">
        <v>0.55</v>
      </c>
      <c r="LDX19" s="175">
        <v>0.53</v>
      </c>
      <c r="LDY19" s="157" t="s">
        <v>67</v>
      </c>
      <c r="LDZ19" s="157"/>
      <c r="LEA19" s="157"/>
      <c r="LEB19" s="173">
        <v>0.62</v>
      </c>
      <c r="LEC19" s="173">
        <v>0.61</v>
      </c>
      <c r="LED19" s="173">
        <v>0.61</v>
      </c>
      <c r="LEE19" s="173">
        <v>0.61</v>
      </c>
      <c r="LEF19" s="173">
        <v>0.6</v>
      </c>
      <c r="LEG19" s="174">
        <v>0.6</v>
      </c>
      <c r="LEH19" s="173">
        <v>0.6</v>
      </c>
      <c r="LEI19" s="174">
        <v>0.59</v>
      </c>
      <c r="LEJ19" s="175">
        <v>0.59</v>
      </c>
      <c r="LEK19" s="175">
        <v>0.58</v>
      </c>
      <c r="LEL19" s="175">
        <v>0.57</v>
      </c>
      <c r="LEM19" s="175">
        <v>0.55</v>
      </c>
      <c r="LEN19" s="175">
        <v>0.53</v>
      </c>
      <c r="LEO19" s="157" t="s">
        <v>67</v>
      </c>
      <c r="LEP19" s="157"/>
      <c r="LEQ19" s="157"/>
      <c r="LER19" s="173">
        <v>0.62</v>
      </c>
      <c r="LES19" s="173">
        <v>0.61</v>
      </c>
      <c r="LET19" s="173">
        <v>0.61</v>
      </c>
      <c r="LEU19" s="173">
        <v>0.61</v>
      </c>
      <c r="LEV19" s="173">
        <v>0.6</v>
      </c>
      <c r="LEW19" s="174">
        <v>0.6</v>
      </c>
      <c r="LEX19" s="173">
        <v>0.6</v>
      </c>
      <c r="LEY19" s="174">
        <v>0.59</v>
      </c>
      <c r="LEZ19" s="175">
        <v>0.59</v>
      </c>
      <c r="LFA19" s="175">
        <v>0.58</v>
      </c>
      <c r="LFB19" s="175">
        <v>0.57</v>
      </c>
      <c r="LFC19" s="175">
        <v>0.55</v>
      </c>
      <c r="LFD19" s="175">
        <v>0.53</v>
      </c>
      <c r="LFE19" s="157" t="s">
        <v>67</v>
      </c>
      <c r="LFF19" s="157"/>
      <c r="LFG19" s="157"/>
      <c r="LFH19" s="173">
        <v>0.62</v>
      </c>
      <c r="LFI19" s="173">
        <v>0.61</v>
      </c>
      <c r="LFJ19" s="173">
        <v>0.61</v>
      </c>
      <c r="LFK19" s="173">
        <v>0.61</v>
      </c>
      <c r="LFL19" s="173">
        <v>0.6</v>
      </c>
      <c r="LFM19" s="174">
        <v>0.6</v>
      </c>
      <c r="LFN19" s="173">
        <v>0.6</v>
      </c>
      <c r="LFO19" s="174">
        <v>0.59</v>
      </c>
      <c r="LFP19" s="175">
        <v>0.59</v>
      </c>
      <c r="LFQ19" s="175">
        <v>0.58</v>
      </c>
      <c r="LFR19" s="175">
        <v>0.57</v>
      </c>
      <c r="LFS19" s="175">
        <v>0.55</v>
      </c>
      <c r="LFT19" s="175">
        <v>0.53</v>
      </c>
      <c r="LFU19" s="157" t="s">
        <v>67</v>
      </c>
      <c r="LFV19" s="157"/>
      <c r="LFW19" s="157"/>
      <c r="LFX19" s="173">
        <v>0.62</v>
      </c>
      <c r="LFY19" s="173">
        <v>0.61</v>
      </c>
      <c r="LFZ19" s="173">
        <v>0.61</v>
      </c>
      <c r="LGA19" s="173">
        <v>0.61</v>
      </c>
      <c r="LGB19" s="173">
        <v>0.6</v>
      </c>
      <c r="LGC19" s="174">
        <v>0.6</v>
      </c>
      <c r="LGD19" s="173">
        <v>0.6</v>
      </c>
      <c r="LGE19" s="174">
        <v>0.59</v>
      </c>
      <c r="LGF19" s="175">
        <v>0.59</v>
      </c>
      <c r="LGG19" s="175">
        <v>0.58</v>
      </c>
      <c r="LGH19" s="175">
        <v>0.57</v>
      </c>
      <c r="LGI19" s="175">
        <v>0.55</v>
      </c>
      <c r="LGJ19" s="175">
        <v>0.53</v>
      </c>
      <c r="LGK19" s="157" t="s">
        <v>67</v>
      </c>
      <c r="LGL19" s="157"/>
      <c r="LGM19" s="157"/>
      <c r="LGN19" s="173">
        <v>0.62</v>
      </c>
      <c r="LGO19" s="173">
        <v>0.61</v>
      </c>
      <c r="LGP19" s="173">
        <v>0.61</v>
      </c>
      <c r="LGQ19" s="173">
        <v>0.61</v>
      </c>
      <c r="LGR19" s="173">
        <v>0.6</v>
      </c>
      <c r="LGS19" s="174">
        <v>0.6</v>
      </c>
      <c r="LGT19" s="173">
        <v>0.6</v>
      </c>
      <c r="LGU19" s="174">
        <v>0.59</v>
      </c>
      <c r="LGV19" s="175">
        <v>0.59</v>
      </c>
      <c r="LGW19" s="175">
        <v>0.58</v>
      </c>
      <c r="LGX19" s="175">
        <v>0.57</v>
      </c>
      <c r="LGY19" s="175">
        <v>0.55</v>
      </c>
      <c r="LGZ19" s="175">
        <v>0.53</v>
      </c>
      <c r="LHA19" s="157" t="s">
        <v>67</v>
      </c>
      <c r="LHB19" s="157"/>
      <c r="LHC19" s="157"/>
      <c r="LHD19" s="173">
        <v>0.62</v>
      </c>
      <c r="LHE19" s="173">
        <v>0.61</v>
      </c>
      <c r="LHF19" s="173">
        <v>0.61</v>
      </c>
      <c r="LHG19" s="173">
        <v>0.61</v>
      </c>
      <c r="LHH19" s="173">
        <v>0.6</v>
      </c>
      <c r="LHI19" s="174">
        <v>0.6</v>
      </c>
      <c r="LHJ19" s="173">
        <v>0.6</v>
      </c>
      <c r="LHK19" s="174">
        <v>0.59</v>
      </c>
      <c r="LHL19" s="175">
        <v>0.59</v>
      </c>
      <c r="LHM19" s="175">
        <v>0.58</v>
      </c>
      <c r="LHN19" s="175">
        <v>0.57</v>
      </c>
      <c r="LHO19" s="175">
        <v>0.55</v>
      </c>
      <c r="LHP19" s="175">
        <v>0.53</v>
      </c>
      <c r="LHQ19" s="157" t="s">
        <v>67</v>
      </c>
      <c r="LHR19" s="157"/>
      <c r="LHS19" s="157"/>
      <c r="LHT19" s="173">
        <v>0.62</v>
      </c>
      <c r="LHU19" s="173">
        <v>0.61</v>
      </c>
      <c r="LHV19" s="173">
        <v>0.61</v>
      </c>
      <c r="LHW19" s="173">
        <v>0.61</v>
      </c>
      <c r="LHX19" s="173">
        <v>0.6</v>
      </c>
      <c r="LHY19" s="174">
        <v>0.6</v>
      </c>
      <c r="LHZ19" s="173">
        <v>0.6</v>
      </c>
      <c r="LIA19" s="174">
        <v>0.59</v>
      </c>
      <c r="LIB19" s="175">
        <v>0.59</v>
      </c>
      <c r="LIC19" s="175">
        <v>0.58</v>
      </c>
      <c r="LID19" s="175">
        <v>0.57</v>
      </c>
      <c r="LIE19" s="175">
        <v>0.55</v>
      </c>
      <c r="LIF19" s="175">
        <v>0.53</v>
      </c>
      <c r="LIG19" s="157" t="s">
        <v>67</v>
      </c>
      <c r="LIH19" s="157"/>
      <c r="LII19" s="157"/>
      <c r="LIJ19" s="173">
        <v>0.62</v>
      </c>
      <c r="LIK19" s="173">
        <v>0.61</v>
      </c>
      <c r="LIL19" s="173">
        <v>0.61</v>
      </c>
      <c r="LIM19" s="173">
        <v>0.61</v>
      </c>
      <c r="LIN19" s="173">
        <v>0.6</v>
      </c>
      <c r="LIO19" s="174">
        <v>0.6</v>
      </c>
      <c r="LIP19" s="173">
        <v>0.6</v>
      </c>
      <c r="LIQ19" s="174">
        <v>0.59</v>
      </c>
      <c r="LIR19" s="175">
        <v>0.59</v>
      </c>
      <c r="LIS19" s="175">
        <v>0.58</v>
      </c>
      <c r="LIT19" s="175">
        <v>0.57</v>
      </c>
      <c r="LIU19" s="175">
        <v>0.55</v>
      </c>
      <c r="LIV19" s="175">
        <v>0.53</v>
      </c>
      <c r="LIW19" s="157" t="s">
        <v>67</v>
      </c>
      <c r="LIX19" s="157"/>
      <c r="LIY19" s="157"/>
      <c r="LIZ19" s="173">
        <v>0.62</v>
      </c>
      <c r="LJA19" s="173">
        <v>0.61</v>
      </c>
      <c r="LJB19" s="173">
        <v>0.61</v>
      </c>
      <c r="LJC19" s="173">
        <v>0.61</v>
      </c>
      <c r="LJD19" s="173">
        <v>0.6</v>
      </c>
      <c r="LJE19" s="174">
        <v>0.6</v>
      </c>
      <c r="LJF19" s="173">
        <v>0.6</v>
      </c>
      <c r="LJG19" s="174">
        <v>0.59</v>
      </c>
      <c r="LJH19" s="175">
        <v>0.59</v>
      </c>
      <c r="LJI19" s="175">
        <v>0.58</v>
      </c>
      <c r="LJJ19" s="175">
        <v>0.57</v>
      </c>
      <c r="LJK19" s="175">
        <v>0.55</v>
      </c>
      <c r="LJL19" s="175">
        <v>0.53</v>
      </c>
      <c r="LJM19" s="157" t="s">
        <v>67</v>
      </c>
      <c r="LJN19" s="157"/>
      <c r="LJO19" s="157"/>
      <c r="LJP19" s="173">
        <v>0.62</v>
      </c>
      <c r="LJQ19" s="173">
        <v>0.61</v>
      </c>
      <c r="LJR19" s="173">
        <v>0.61</v>
      </c>
      <c r="LJS19" s="173">
        <v>0.61</v>
      </c>
      <c r="LJT19" s="173">
        <v>0.6</v>
      </c>
      <c r="LJU19" s="174">
        <v>0.6</v>
      </c>
      <c r="LJV19" s="173">
        <v>0.6</v>
      </c>
      <c r="LJW19" s="174">
        <v>0.59</v>
      </c>
      <c r="LJX19" s="175">
        <v>0.59</v>
      </c>
      <c r="LJY19" s="175">
        <v>0.58</v>
      </c>
      <c r="LJZ19" s="175">
        <v>0.57</v>
      </c>
      <c r="LKA19" s="175">
        <v>0.55</v>
      </c>
      <c r="LKB19" s="175">
        <v>0.53</v>
      </c>
      <c r="LKC19" s="157" t="s">
        <v>67</v>
      </c>
      <c r="LKD19" s="157"/>
      <c r="LKE19" s="157"/>
      <c r="LKF19" s="173">
        <v>0.62</v>
      </c>
      <c r="LKG19" s="173">
        <v>0.61</v>
      </c>
      <c r="LKH19" s="173">
        <v>0.61</v>
      </c>
      <c r="LKI19" s="173">
        <v>0.61</v>
      </c>
      <c r="LKJ19" s="173">
        <v>0.6</v>
      </c>
      <c r="LKK19" s="174">
        <v>0.6</v>
      </c>
      <c r="LKL19" s="173">
        <v>0.6</v>
      </c>
      <c r="LKM19" s="174">
        <v>0.59</v>
      </c>
      <c r="LKN19" s="175">
        <v>0.59</v>
      </c>
      <c r="LKO19" s="175">
        <v>0.58</v>
      </c>
      <c r="LKP19" s="175">
        <v>0.57</v>
      </c>
      <c r="LKQ19" s="175">
        <v>0.55</v>
      </c>
      <c r="LKR19" s="175">
        <v>0.53</v>
      </c>
      <c r="LKS19" s="157" t="s">
        <v>67</v>
      </c>
      <c r="LKT19" s="157"/>
      <c r="LKU19" s="157"/>
      <c r="LKV19" s="173">
        <v>0.62</v>
      </c>
      <c r="LKW19" s="173">
        <v>0.61</v>
      </c>
      <c r="LKX19" s="173">
        <v>0.61</v>
      </c>
      <c r="LKY19" s="173">
        <v>0.61</v>
      </c>
      <c r="LKZ19" s="173">
        <v>0.6</v>
      </c>
      <c r="LLA19" s="174">
        <v>0.6</v>
      </c>
      <c r="LLB19" s="173">
        <v>0.6</v>
      </c>
      <c r="LLC19" s="174">
        <v>0.59</v>
      </c>
      <c r="LLD19" s="175">
        <v>0.59</v>
      </c>
      <c r="LLE19" s="175">
        <v>0.58</v>
      </c>
      <c r="LLF19" s="175">
        <v>0.57</v>
      </c>
      <c r="LLG19" s="175">
        <v>0.55</v>
      </c>
      <c r="LLH19" s="175">
        <v>0.53</v>
      </c>
      <c r="LLI19" s="157" t="s">
        <v>67</v>
      </c>
      <c r="LLJ19" s="157"/>
      <c r="LLK19" s="157"/>
      <c r="LLL19" s="173">
        <v>0.62</v>
      </c>
      <c r="LLM19" s="173">
        <v>0.61</v>
      </c>
      <c r="LLN19" s="173">
        <v>0.61</v>
      </c>
      <c r="LLO19" s="173">
        <v>0.61</v>
      </c>
      <c r="LLP19" s="173">
        <v>0.6</v>
      </c>
      <c r="LLQ19" s="174">
        <v>0.6</v>
      </c>
      <c r="LLR19" s="173">
        <v>0.6</v>
      </c>
      <c r="LLS19" s="174">
        <v>0.59</v>
      </c>
      <c r="LLT19" s="175">
        <v>0.59</v>
      </c>
      <c r="LLU19" s="175">
        <v>0.58</v>
      </c>
      <c r="LLV19" s="175">
        <v>0.57</v>
      </c>
      <c r="LLW19" s="175">
        <v>0.55</v>
      </c>
      <c r="LLX19" s="175">
        <v>0.53</v>
      </c>
      <c r="LLY19" s="157" t="s">
        <v>67</v>
      </c>
      <c r="LLZ19" s="157"/>
      <c r="LMA19" s="157"/>
      <c r="LMB19" s="173">
        <v>0.62</v>
      </c>
      <c r="LMC19" s="173">
        <v>0.61</v>
      </c>
      <c r="LMD19" s="173">
        <v>0.61</v>
      </c>
      <c r="LME19" s="173">
        <v>0.61</v>
      </c>
      <c r="LMF19" s="173">
        <v>0.6</v>
      </c>
      <c r="LMG19" s="174">
        <v>0.6</v>
      </c>
      <c r="LMH19" s="173">
        <v>0.6</v>
      </c>
      <c r="LMI19" s="174">
        <v>0.59</v>
      </c>
      <c r="LMJ19" s="175">
        <v>0.59</v>
      </c>
      <c r="LMK19" s="175">
        <v>0.58</v>
      </c>
      <c r="LML19" s="175">
        <v>0.57</v>
      </c>
      <c r="LMM19" s="175">
        <v>0.55</v>
      </c>
      <c r="LMN19" s="175">
        <v>0.53</v>
      </c>
      <c r="LMO19" s="157" t="s">
        <v>67</v>
      </c>
      <c r="LMP19" s="157"/>
      <c r="LMQ19" s="157"/>
      <c r="LMR19" s="173">
        <v>0.62</v>
      </c>
      <c r="LMS19" s="173">
        <v>0.61</v>
      </c>
      <c r="LMT19" s="173">
        <v>0.61</v>
      </c>
      <c r="LMU19" s="173">
        <v>0.61</v>
      </c>
      <c r="LMV19" s="173">
        <v>0.6</v>
      </c>
      <c r="LMW19" s="174">
        <v>0.6</v>
      </c>
      <c r="LMX19" s="173">
        <v>0.6</v>
      </c>
      <c r="LMY19" s="174">
        <v>0.59</v>
      </c>
      <c r="LMZ19" s="175">
        <v>0.59</v>
      </c>
      <c r="LNA19" s="175">
        <v>0.58</v>
      </c>
      <c r="LNB19" s="175">
        <v>0.57</v>
      </c>
      <c r="LNC19" s="175">
        <v>0.55</v>
      </c>
      <c r="LND19" s="175">
        <v>0.53</v>
      </c>
      <c r="LNE19" s="157" t="s">
        <v>67</v>
      </c>
      <c r="LNF19" s="157"/>
      <c r="LNG19" s="157"/>
      <c r="LNH19" s="173">
        <v>0.62</v>
      </c>
      <c r="LNI19" s="173">
        <v>0.61</v>
      </c>
      <c r="LNJ19" s="173">
        <v>0.61</v>
      </c>
      <c r="LNK19" s="173">
        <v>0.61</v>
      </c>
      <c r="LNL19" s="173">
        <v>0.6</v>
      </c>
      <c r="LNM19" s="174">
        <v>0.6</v>
      </c>
      <c r="LNN19" s="173">
        <v>0.6</v>
      </c>
      <c r="LNO19" s="174">
        <v>0.59</v>
      </c>
      <c r="LNP19" s="175">
        <v>0.59</v>
      </c>
      <c r="LNQ19" s="175">
        <v>0.58</v>
      </c>
      <c r="LNR19" s="175">
        <v>0.57</v>
      </c>
      <c r="LNS19" s="175">
        <v>0.55</v>
      </c>
      <c r="LNT19" s="175">
        <v>0.53</v>
      </c>
      <c r="LNU19" s="157" t="s">
        <v>67</v>
      </c>
      <c r="LNV19" s="157"/>
      <c r="LNW19" s="157"/>
      <c r="LNX19" s="173">
        <v>0.62</v>
      </c>
      <c r="LNY19" s="173">
        <v>0.61</v>
      </c>
      <c r="LNZ19" s="173">
        <v>0.61</v>
      </c>
      <c r="LOA19" s="173">
        <v>0.61</v>
      </c>
      <c r="LOB19" s="173">
        <v>0.6</v>
      </c>
      <c r="LOC19" s="174">
        <v>0.6</v>
      </c>
      <c r="LOD19" s="173">
        <v>0.6</v>
      </c>
      <c r="LOE19" s="174">
        <v>0.59</v>
      </c>
      <c r="LOF19" s="175">
        <v>0.59</v>
      </c>
      <c r="LOG19" s="175">
        <v>0.58</v>
      </c>
      <c r="LOH19" s="175">
        <v>0.57</v>
      </c>
      <c r="LOI19" s="175">
        <v>0.55</v>
      </c>
      <c r="LOJ19" s="175">
        <v>0.53</v>
      </c>
      <c r="LOK19" s="157" t="s">
        <v>67</v>
      </c>
      <c r="LOL19" s="157"/>
      <c r="LOM19" s="157"/>
      <c r="LON19" s="173">
        <v>0.62</v>
      </c>
      <c r="LOO19" s="173">
        <v>0.61</v>
      </c>
      <c r="LOP19" s="173">
        <v>0.61</v>
      </c>
      <c r="LOQ19" s="173">
        <v>0.61</v>
      </c>
      <c r="LOR19" s="173">
        <v>0.6</v>
      </c>
      <c r="LOS19" s="174">
        <v>0.6</v>
      </c>
      <c r="LOT19" s="173">
        <v>0.6</v>
      </c>
      <c r="LOU19" s="174">
        <v>0.59</v>
      </c>
      <c r="LOV19" s="175">
        <v>0.59</v>
      </c>
      <c r="LOW19" s="175">
        <v>0.58</v>
      </c>
      <c r="LOX19" s="175">
        <v>0.57</v>
      </c>
      <c r="LOY19" s="175">
        <v>0.55</v>
      </c>
      <c r="LOZ19" s="175">
        <v>0.53</v>
      </c>
      <c r="LPA19" s="157" t="s">
        <v>67</v>
      </c>
      <c r="LPB19" s="157"/>
      <c r="LPC19" s="157"/>
      <c r="LPD19" s="173">
        <v>0.62</v>
      </c>
      <c r="LPE19" s="173">
        <v>0.61</v>
      </c>
      <c r="LPF19" s="173">
        <v>0.61</v>
      </c>
      <c r="LPG19" s="173">
        <v>0.61</v>
      </c>
      <c r="LPH19" s="173">
        <v>0.6</v>
      </c>
      <c r="LPI19" s="174">
        <v>0.6</v>
      </c>
      <c r="LPJ19" s="173">
        <v>0.6</v>
      </c>
      <c r="LPK19" s="174">
        <v>0.59</v>
      </c>
      <c r="LPL19" s="175">
        <v>0.59</v>
      </c>
      <c r="LPM19" s="175">
        <v>0.58</v>
      </c>
      <c r="LPN19" s="175">
        <v>0.57</v>
      </c>
      <c r="LPO19" s="175">
        <v>0.55</v>
      </c>
      <c r="LPP19" s="175">
        <v>0.53</v>
      </c>
      <c r="LPQ19" s="157" t="s">
        <v>67</v>
      </c>
      <c r="LPR19" s="157"/>
      <c r="LPS19" s="157"/>
      <c r="LPT19" s="173">
        <v>0.62</v>
      </c>
      <c r="LPU19" s="173">
        <v>0.61</v>
      </c>
      <c r="LPV19" s="173">
        <v>0.61</v>
      </c>
      <c r="LPW19" s="173">
        <v>0.61</v>
      </c>
      <c r="LPX19" s="173">
        <v>0.6</v>
      </c>
      <c r="LPY19" s="174">
        <v>0.6</v>
      </c>
      <c r="LPZ19" s="173">
        <v>0.6</v>
      </c>
      <c r="LQA19" s="174">
        <v>0.59</v>
      </c>
      <c r="LQB19" s="175">
        <v>0.59</v>
      </c>
      <c r="LQC19" s="175">
        <v>0.58</v>
      </c>
      <c r="LQD19" s="175">
        <v>0.57</v>
      </c>
      <c r="LQE19" s="175">
        <v>0.55</v>
      </c>
      <c r="LQF19" s="175">
        <v>0.53</v>
      </c>
      <c r="LQG19" s="157" t="s">
        <v>67</v>
      </c>
      <c r="LQH19" s="157"/>
      <c r="LQI19" s="157"/>
      <c r="LQJ19" s="173">
        <v>0.62</v>
      </c>
      <c r="LQK19" s="173">
        <v>0.61</v>
      </c>
      <c r="LQL19" s="173">
        <v>0.61</v>
      </c>
      <c r="LQM19" s="173">
        <v>0.61</v>
      </c>
      <c r="LQN19" s="173">
        <v>0.6</v>
      </c>
      <c r="LQO19" s="174">
        <v>0.6</v>
      </c>
      <c r="LQP19" s="173">
        <v>0.6</v>
      </c>
      <c r="LQQ19" s="174">
        <v>0.59</v>
      </c>
      <c r="LQR19" s="175">
        <v>0.59</v>
      </c>
      <c r="LQS19" s="175">
        <v>0.58</v>
      </c>
      <c r="LQT19" s="175">
        <v>0.57</v>
      </c>
      <c r="LQU19" s="175">
        <v>0.55</v>
      </c>
      <c r="LQV19" s="175">
        <v>0.53</v>
      </c>
      <c r="LQW19" s="157" t="s">
        <v>67</v>
      </c>
      <c r="LQX19" s="157"/>
      <c r="LQY19" s="157"/>
      <c r="LQZ19" s="173">
        <v>0.62</v>
      </c>
      <c r="LRA19" s="173">
        <v>0.61</v>
      </c>
      <c r="LRB19" s="173">
        <v>0.61</v>
      </c>
      <c r="LRC19" s="173">
        <v>0.61</v>
      </c>
      <c r="LRD19" s="173">
        <v>0.6</v>
      </c>
      <c r="LRE19" s="174">
        <v>0.6</v>
      </c>
      <c r="LRF19" s="173">
        <v>0.6</v>
      </c>
      <c r="LRG19" s="174">
        <v>0.59</v>
      </c>
      <c r="LRH19" s="175">
        <v>0.59</v>
      </c>
      <c r="LRI19" s="175">
        <v>0.58</v>
      </c>
      <c r="LRJ19" s="175">
        <v>0.57</v>
      </c>
      <c r="LRK19" s="175">
        <v>0.55</v>
      </c>
      <c r="LRL19" s="175">
        <v>0.53</v>
      </c>
      <c r="LRM19" s="157" t="s">
        <v>67</v>
      </c>
      <c r="LRN19" s="157"/>
      <c r="LRO19" s="157"/>
      <c r="LRP19" s="173">
        <v>0.62</v>
      </c>
      <c r="LRQ19" s="173">
        <v>0.61</v>
      </c>
      <c r="LRR19" s="173">
        <v>0.61</v>
      </c>
      <c r="LRS19" s="173">
        <v>0.61</v>
      </c>
      <c r="LRT19" s="173">
        <v>0.6</v>
      </c>
      <c r="LRU19" s="174">
        <v>0.6</v>
      </c>
      <c r="LRV19" s="173">
        <v>0.6</v>
      </c>
      <c r="LRW19" s="174">
        <v>0.59</v>
      </c>
      <c r="LRX19" s="175">
        <v>0.59</v>
      </c>
      <c r="LRY19" s="175">
        <v>0.58</v>
      </c>
      <c r="LRZ19" s="175">
        <v>0.57</v>
      </c>
      <c r="LSA19" s="175">
        <v>0.55</v>
      </c>
      <c r="LSB19" s="175">
        <v>0.53</v>
      </c>
      <c r="LSC19" s="157" t="s">
        <v>67</v>
      </c>
      <c r="LSD19" s="157"/>
      <c r="LSE19" s="157"/>
      <c r="LSF19" s="173">
        <v>0.62</v>
      </c>
      <c r="LSG19" s="173">
        <v>0.61</v>
      </c>
      <c r="LSH19" s="173">
        <v>0.61</v>
      </c>
      <c r="LSI19" s="173">
        <v>0.61</v>
      </c>
      <c r="LSJ19" s="173">
        <v>0.6</v>
      </c>
      <c r="LSK19" s="174">
        <v>0.6</v>
      </c>
      <c r="LSL19" s="173">
        <v>0.6</v>
      </c>
      <c r="LSM19" s="174">
        <v>0.59</v>
      </c>
      <c r="LSN19" s="175">
        <v>0.59</v>
      </c>
      <c r="LSO19" s="175">
        <v>0.58</v>
      </c>
      <c r="LSP19" s="175">
        <v>0.57</v>
      </c>
      <c r="LSQ19" s="175">
        <v>0.55</v>
      </c>
      <c r="LSR19" s="175">
        <v>0.53</v>
      </c>
      <c r="LSS19" s="157" t="s">
        <v>67</v>
      </c>
      <c r="LST19" s="157"/>
      <c r="LSU19" s="157"/>
      <c r="LSV19" s="173">
        <v>0.62</v>
      </c>
      <c r="LSW19" s="173">
        <v>0.61</v>
      </c>
      <c r="LSX19" s="173">
        <v>0.61</v>
      </c>
      <c r="LSY19" s="173">
        <v>0.61</v>
      </c>
      <c r="LSZ19" s="173">
        <v>0.6</v>
      </c>
      <c r="LTA19" s="174">
        <v>0.6</v>
      </c>
      <c r="LTB19" s="173">
        <v>0.6</v>
      </c>
      <c r="LTC19" s="174">
        <v>0.59</v>
      </c>
      <c r="LTD19" s="175">
        <v>0.59</v>
      </c>
      <c r="LTE19" s="175">
        <v>0.58</v>
      </c>
      <c r="LTF19" s="175">
        <v>0.57</v>
      </c>
      <c r="LTG19" s="175">
        <v>0.55</v>
      </c>
      <c r="LTH19" s="175">
        <v>0.53</v>
      </c>
      <c r="LTI19" s="157" t="s">
        <v>67</v>
      </c>
      <c r="LTJ19" s="157"/>
      <c r="LTK19" s="157"/>
      <c r="LTL19" s="173">
        <v>0.62</v>
      </c>
      <c r="LTM19" s="173">
        <v>0.61</v>
      </c>
      <c r="LTN19" s="173">
        <v>0.61</v>
      </c>
      <c r="LTO19" s="173">
        <v>0.61</v>
      </c>
      <c r="LTP19" s="173">
        <v>0.6</v>
      </c>
      <c r="LTQ19" s="174">
        <v>0.6</v>
      </c>
      <c r="LTR19" s="173">
        <v>0.6</v>
      </c>
      <c r="LTS19" s="174">
        <v>0.59</v>
      </c>
      <c r="LTT19" s="175">
        <v>0.59</v>
      </c>
      <c r="LTU19" s="175">
        <v>0.58</v>
      </c>
      <c r="LTV19" s="175">
        <v>0.57</v>
      </c>
      <c r="LTW19" s="175">
        <v>0.55</v>
      </c>
      <c r="LTX19" s="175">
        <v>0.53</v>
      </c>
      <c r="LTY19" s="157" t="s">
        <v>67</v>
      </c>
      <c r="LTZ19" s="157"/>
      <c r="LUA19" s="157"/>
      <c r="LUB19" s="173">
        <v>0.62</v>
      </c>
      <c r="LUC19" s="173">
        <v>0.61</v>
      </c>
      <c r="LUD19" s="173">
        <v>0.61</v>
      </c>
      <c r="LUE19" s="173">
        <v>0.61</v>
      </c>
      <c r="LUF19" s="173">
        <v>0.6</v>
      </c>
      <c r="LUG19" s="174">
        <v>0.6</v>
      </c>
      <c r="LUH19" s="173">
        <v>0.6</v>
      </c>
      <c r="LUI19" s="174">
        <v>0.59</v>
      </c>
      <c r="LUJ19" s="175">
        <v>0.59</v>
      </c>
      <c r="LUK19" s="175">
        <v>0.58</v>
      </c>
      <c r="LUL19" s="175">
        <v>0.57</v>
      </c>
      <c r="LUM19" s="175">
        <v>0.55</v>
      </c>
      <c r="LUN19" s="175">
        <v>0.53</v>
      </c>
      <c r="LUO19" s="157" t="s">
        <v>67</v>
      </c>
      <c r="LUP19" s="157"/>
      <c r="LUQ19" s="157"/>
      <c r="LUR19" s="173">
        <v>0.62</v>
      </c>
      <c r="LUS19" s="173">
        <v>0.61</v>
      </c>
      <c r="LUT19" s="173">
        <v>0.61</v>
      </c>
      <c r="LUU19" s="173">
        <v>0.61</v>
      </c>
      <c r="LUV19" s="173">
        <v>0.6</v>
      </c>
      <c r="LUW19" s="174">
        <v>0.6</v>
      </c>
      <c r="LUX19" s="173">
        <v>0.6</v>
      </c>
      <c r="LUY19" s="174">
        <v>0.59</v>
      </c>
      <c r="LUZ19" s="175">
        <v>0.59</v>
      </c>
      <c r="LVA19" s="175">
        <v>0.58</v>
      </c>
      <c r="LVB19" s="175">
        <v>0.57</v>
      </c>
      <c r="LVC19" s="175">
        <v>0.55</v>
      </c>
      <c r="LVD19" s="175">
        <v>0.53</v>
      </c>
      <c r="LVE19" s="157" t="s">
        <v>67</v>
      </c>
      <c r="LVF19" s="157"/>
      <c r="LVG19" s="157"/>
      <c r="LVH19" s="173">
        <v>0.62</v>
      </c>
      <c r="LVI19" s="173">
        <v>0.61</v>
      </c>
      <c r="LVJ19" s="173">
        <v>0.61</v>
      </c>
      <c r="LVK19" s="173">
        <v>0.61</v>
      </c>
      <c r="LVL19" s="173">
        <v>0.6</v>
      </c>
      <c r="LVM19" s="174">
        <v>0.6</v>
      </c>
      <c r="LVN19" s="173">
        <v>0.6</v>
      </c>
      <c r="LVO19" s="174">
        <v>0.59</v>
      </c>
      <c r="LVP19" s="175">
        <v>0.59</v>
      </c>
      <c r="LVQ19" s="175">
        <v>0.58</v>
      </c>
      <c r="LVR19" s="175">
        <v>0.57</v>
      </c>
      <c r="LVS19" s="175">
        <v>0.55</v>
      </c>
      <c r="LVT19" s="175">
        <v>0.53</v>
      </c>
      <c r="LVU19" s="157" t="s">
        <v>67</v>
      </c>
      <c r="LVV19" s="157"/>
      <c r="LVW19" s="157"/>
      <c r="LVX19" s="173">
        <v>0.62</v>
      </c>
      <c r="LVY19" s="173">
        <v>0.61</v>
      </c>
      <c r="LVZ19" s="173">
        <v>0.61</v>
      </c>
      <c r="LWA19" s="173">
        <v>0.61</v>
      </c>
      <c r="LWB19" s="173">
        <v>0.6</v>
      </c>
      <c r="LWC19" s="174">
        <v>0.6</v>
      </c>
      <c r="LWD19" s="173">
        <v>0.6</v>
      </c>
      <c r="LWE19" s="174">
        <v>0.59</v>
      </c>
      <c r="LWF19" s="175">
        <v>0.59</v>
      </c>
      <c r="LWG19" s="175">
        <v>0.58</v>
      </c>
      <c r="LWH19" s="175">
        <v>0.57</v>
      </c>
      <c r="LWI19" s="175">
        <v>0.55</v>
      </c>
      <c r="LWJ19" s="175">
        <v>0.53</v>
      </c>
      <c r="LWK19" s="157" t="s">
        <v>67</v>
      </c>
      <c r="LWL19" s="157"/>
      <c r="LWM19" s="157"/>
      <c r="LWN19" s="173">
        <v>0.62</v>
      </c>
      <c r="LWO19" s="173">
        <v>0.61</v>
      </c>
      <c r="LWP19" s="173">
        <v>0.61</v>
      </c>
      <c r="LWQ19" s="173">
        <v>0.61</v>
      </c>
      <c r="LWR19" s="173">
        <v>0.6</v>
      </c>
      <c r="LWS19" s="174">
        <v>0.6</v>
      </c>
      <c r="LWT19" s="173">
        <v>0.6</v>
      </c>
      <c r="LWU19" s="174">
        <v>0.59</v>
      </c>
      <c r="LWV19" s="175">
        <v>0.59</v>
      </c>
      <c r="LWW19" s="175">
        <v>0.58</v>
      </c>
      <c r="LWX19" s="175">
        <v>0.57</v>
      </c>
      <c r="LWY19" s="175">
        <v>0.55</v>
      </c>
      <c r="LWZ19" s="175">
        <v>0.53</v>
      </c>
      <c r="LXA19" s="157" t="s">
        <v>67</v>
      </c>
      <c r="LXB19" s="157"/>
      <c r="LXC19" s="157"/>
      <c r="LXD19" s="173">
        <v>0.62</v>
      </c>
      <c r="LXE19" s="173">
        <v>0.61</v>
      </c>
      <c r="LXF19" s="173">
        <v>0.61</v>
      </c>
      <c r="LXG19" s="173">
        <v>0.61</v>
      </c>
      <c r="LXH19" s="173">
        <v>0.6</v>
      </c>
      <c r="LXI19" s="174">
        <v>0.6</v>
      </c>
      <c r="LXJ19" s="173">
        <v>0.6</v>
      </c>
      <c r="LXK19" s="174">
        <v>0.59</v>
      </c>
      <c r="LXL19" s="175">
        <v>0.59</v>
      </c>
      <c r="LXM19" s="175">
        <v>0.58</v>
      </c>
      <c r="LXN19" s="175">
        <v>0.57</v>
      </c>
      <c r="LXO19" s="175">
        <v>0.55</v>
      </c>
      <c r="LXP19" s="175">
        <v>0.53</v>
      </c>
      <c r="LXQ19" s="157" t="s">
        <v>67</v>
      </c>
      <c r="LXR19" s="157"/>
      <c r="LXS19" s="157"/>
      <c r="LXT19" s="173">
        <v>0.62</v>
      </c>
      <c r="LXU19" s="173">
        <v>0.61</v>
      </c>
      <c r="LXV19" s="173">
        <v>0.61</v>
      </c>
      <c r="LXW19" s="173">
        <v>0.61</v>
      </c>
      <c r="LXX19" s="173">
        <v>0.6</v>
      </c>
      <c r="LXY19" s="174">
        <v>0.6</v>
      </c>
      <c r="LXZ19" s="173">
        <v>0.6</v>
      </c>
      <c r="LYA19" s="174">
        <v>0.59</v>
      </c>
      <c r="LYB19" s="175">
        <v>0.59</v>
      </c>
      <c r="LYC19" s="175">
        <v>0.58</v>
      </c>
      <c r="LYD19" s="175">
        <v>0.57</v>
      </c>
      <c r="LYE19" s="175">
        <v>0.55</v>
      </c>
      <c r="LYF19" s="175">
        <v>0.53</v>
      </c>
      <c r="LYG19" s="157" t="s">
        <v>67</v>
      </c>
      <c r="LYH19" s="157"/>
      <c r="LYI19" s="157"/>
      <c r="LYJ19" s="173">
        <v>0.62</v>
      </c>
      <c r="LYK19" s="173">
        <v>0.61</v>
      </c>
      <c r="LYL19" s="173">
        <v>0.61</v>
      </c>
      <c r="LYM19" s="173">
        <v>0.61</v>
      </c>
      <c r="LYN19" s="173">
        <v>0.6</v>
      </c>
      <c r="LYO19" s="174">
        <v>0.6</v>
      </c>
      <c r="LYP19" s="173">
        <v>0.6</v>
      </c>
      <c r="LYQ19" s="174">
        <v>0.59</v>
      </c>
      <c r="LYR19" s="175">
        <v>0.59</v>
      </c>
      <c r="LYS19" s="175">
        <v>0.58</v>
      </c>
      <c r="LYT19" s="175">
        <v>0.57</v>
      </c>
      <c r="LYU19" s="175">
        <v>0.55</v>
      </c>
      <c r="LYV19" s="175">
        <v>0.53</v>
      </c>
      <c r="LYW19" s="157" t="s">
        <v>67</v>
      </c>
      <c r="LYX19" s="157"/>
      <c r="LYY19" s="157"/>
      <c r="LYZ19" s="173">
        <v>0.62</v>
      </c>
      <c r="LZA19" s="173">
        <v>0.61</v>
      </c>
      <c r="LZB19" s="173">
        <v>0.61</v>
      </c>
      <c r="LZC19" s="173">
        <v>0.61</v>
      </c>
      <c r="LZD19" s="173">
        <v>0.6</v>
      </c>
      <c r="LZE19" s="174">
        <v>0.6</v>
      </c>
      <c r="LZF19" s="173">
        <v>0.6</v>
      </c>
      <c r="LZG19" s="174">
        <v>0.59</v>
      </c>
      <c r="LZH19" s="175">
        <v>0.59</v>
      </c>
      <c r="LZI19" s="175">
        <v>0.58</v>
      </c>
      <c r="LZJ19" s="175">
        <v>0.57</v>
      </c>
      <c r="LZK19" s="175">
        <v>0.55</v>
      </c>
      <c r="LZL19" s="175">
        <v>0.53</v>
      </c>
      <c r="LZM19" s="157" t="s">
        <v>67</v>
      </c>
      <c r="LZN19" s="157"/>
      <c r="LZO19" s="157"/>
      <c r="LZP19" s="173">
        <v>0.62</v>
      </c>
      <c r="LZQ19" s="173">
        <v>0.61</v>
      </c>
      <c r="LZR19" s="173">
        <v>0.61</v>
      </c>
      <c r="LZS19" s="173">
        <v>0.61</v>
      </c>
      <c r="LZT19" s="173">
        <v>0.6</v>
      </c>
      <c r="LZU19" s="174">
        <v>0.6</v>
      </c>
      <c r="LZV19" s="173">
        <v>0.6</v>
      </c>
      <c r="LZW19" s="174">
        <v>0.59</v>
      </c>
      <c r="LZX19" s="175">
        <v>0.59</v>
      </c>
      <c r="LZY19" s="175">
        <v>0.58</v>
      </c>
      <c r="LZZ19" s="175">
        <v>0.57</v>
      </c>
      <c r="MAA19" s="175">
        <v>0.55</v>
      </c>
      <c r="MAB19" s="175">
        <v>0.53</v>
      </c>
      <c r="MAC19" s="157" t="s">
        <v>67</v>
      </c>
      <c r="MAD19" s="157"/>
      <c r="MAE19" s="157"/>
      <c r="MAF19" s="173">
        <v>0.62</v>
      </c>
      <c r="MAG19" s="173">
        <v>0.61</v>
      </c>
      <c r="MAH19" s="173">
        <v>0.61</v>
      </c>
      <c r="MAI19" s="173">
        <v>0.61</v>
      </c>
      <c r="MAJ19" s="173">
        <v>0.6</v>
      </c>
      <c r="MAK19" s="174">
        <v>0.6</v>
      </c>
      <c r="MAL19" s="173">
        <v>0.6</v>
      </c>
      <c r="MAM19" s="174">
        <v>0.59</v>
      </c>
      <c r="MAN19" s="175">
        <v>0.59</v>
      </c>
      <c r="MAO19" s="175">
        <v>0.58</v>
      </c>
      <c r="MAP19" s="175">
        <v>0.57</v>
      </c>
      <c r="MAQ19" s="175">
        <v>0.55</v>
      </c>
      <c r="MAR19" s="175">
        <v>0.53</v>
      </c>
      <c r="MAS19" s="157" t="s">
        <v>67</v>
      </c>
      <c r="MAT19" s="157"/>
      <c r="MAU19" s="157"/>
      <c r="MAV19" s="173">
        <v>0.62</v>
      </c>
      <c r="MAW19" s="173">
        <v>0.61</v>
      </c>
      <c r="MAX19" s="173">
        <v>0.61</v>
      </c>
      <c r="MAY19" s="173">
        <v>0.61</v>
      </c>
      <c r="MAZ19" s="173">
        <v>0.6</v>
      </c>
      <c r="MBA19" s="174">
        <v>0.6</v>
      </c>
      <c r="MBB19" s="173">
        <v>0.6</v>
      </c>
      <c r="MBC19" s="174">
        <v>0.59</v>
      </c>
      <c r="MBD19" s="175">
        <v>0.59</v>
      </c>
      <c r="MBE19" s="175">
        <v>0.58</v>
      </c>
      <c r="MBF19" s="175">
        <v>0.57</v>
      </c>
      <c r="MBG19" s="175">
        <v>0.55</v>
      </c>
      <c r="MBH19" s="175">
        <v>0.53</v>
      </c>
      <c r="MBI19" s="157" t="s">
        <v>67</v>
      </c>
      <c r="MBJ19" s="157"/>
      <c r="MBK19" s="157"/>
      <c r="MBL19" s="173">
        <v>0.62</v>
      </c>
      <c r="MBM19" s="173">
        <v>0.61</v>
      </c>
      <c r="MBN19" s="173">
        <v>0.61</v>
      </c>
      <c r="MBO19" s="173">
        <v>0.61</v>
      </c>
      <c r="MBP19" s="173">
        <v>0.6</v>
      </c>
      <c r="MBQ19" s="174">
        <v>0.6</v>
      </c>
      <c r="MBR19" s="173">
        <v>0.6</v>
      </c>
      <c r="MBS19" s="174">
        <v>0.59</v>
      </c>
      <c r="MBT19" s="175">
        <v>0.59</v>
      </c>
      <c r="MBU19" s="175">
        <v>0.58</v>
      </c>
      <c r="MBV19" s="175">
        <v>0.57</v>
      </c>
      <c r="MBW19" s="175">
        <v>0.55</v>
      </c>
      <c r="MBX19" s="175">
        <v>0.53</v>
      </c>
      <c r="MBY19" s="157" t="s">
        <v>67</v>
      </c>
      <c r="MBZ19" s="157"/>
      <c r="MCA19" s="157"/>
      <c r="MCB19" s="173">
        <v>0.62</v>
      </c>
      <c r="MCC19" s="173">
        <v>0.61</v>
      </c>
      <c r="MCD19" s="173">
        <v>0.61</v>
      </c>
      <c r="MCE19" s="173">
        <v>0.61</v>
      </c>
      <c r="MCF19" s="173">
        <v>0.6</v>
      </c>
      <c r="MCG19" s="174">
        <v>0.6</v>
      </c>
      <c r="MCH19" s="173">
        <v>0.6</v>
      </c>
      <c r="MCI19" s="174">
        <v>0.59</v>
      </c>
      <c r="MCJ19" s="175">
        <v>0.59</v>
      </c>
      <c r="MCK19" s="175">
        <v>0.58</v>
      </c>
      <c r="MCL19" s="175">
        <v>0.57</v>
      </c>
      <c r="MCM19" s="175">
        <v>0.55</v>
      </c>
      <c r="MCN19" s="175">
        <v>0.53</v>
      </c>
      <c r="MCO19" s="157" t="s">
        <v>67</v>
      </c>
      <c r="MCP19" s="157"/>
      <c r="MCQ19" s="157"/>
      <c r="MCR19" s="173">
        <v>0.62</v>
      </c>
      <c r="MCS19" s="173">
        <v>0.61</v>
      </c>
      <c r="MCT19" s="173">
        <v>0.61</v>
      </c>
      <c r="MCU19" s="173">
        <v>0.61</v>
      </c>
      <c r="MCV19" s="173">
        <v>0.6</v>
      </c>
      <c r="MCW19" s="174">
        <v>0.6</v>
      </c>
      <c r="MCX19" s="173">
        <v>0.6</v>
      </c>
      <c r="MCY19" s="174">
        <v>0.59</v>
      </c>
      <c r="MCZ19" s="175">
        <v>0.59</v>
      </c>
      <c r="MDA19" s="175">
        <v>0.58</v>
      </c>
      <c r="MDB19" s="175">
        <v>0.57</v>
      </c>
      <c r="MDC19" s="175">
        <v>0.55</v>
      </c>
      <c r="MDD19" s="175">
        <v>0.53</v>
      </c>
      <c r="MDE19" s="157" t="s">
        <v>67</v>
      </c>
      <c r="MDF19" s="157"/>
      <c r="MDG19" s="157"/>
      <c r="MDH19" s="173">
        <v>0.62</v>
      </c>
      <c r="MDI19" s="173">
        <v>0.61</v>
      </c>
      <c r="MDJ19" s="173">
        <v>0.61</v>
      </c>
      <c r="MDK19" s="173">
        <v>0.61</v>
      </c>
      <c r="MDL19" s="173">
        <v>0.6</v>
      </c>
      <c r="MDM19" s="174">
        <v>0.6</v>
      </c>
      <c r="MDN19" s="173">
        <v>0.6</v>
      </c>
      <c r="MDO19" s="174">
        <v>0.59</v>
      </c>
      <c r="MDP19" s="175">
        <v>0.59</v>
      </c>
      <c r="MDQ19" s="175">
        <v>0.58</v>
      </c>
      <c r="MDR19" s="175">
        <v>0.57</v>
      </c>
      <c r="MDS19" s="175">
        <v>0.55</v>
      </c>
      <c r="MDT19" s="175">
        <v>0.53</v>
      </c>
      <c r="MDU19" s="157" t="s">
        <v>67</v>
      </c>
      <c r="MDV19" s="157"/>
      <c r="MDW19" s="157"/>
      <c r="MDX19" s="173">
        <v>0.62</v>
      </c>
      <c r="MDY19" s="173">
        <v>0.61</v>
      </c>
      <c r="MDZ19" s="173">
        <v>0.61</v>
      </c>
      <c r="MEA19" s="173">
        <v>0.61</v>
      </c>
      <c r="MEB19" s="173">
        <v>0.6</v>
      </c>
      <c r="MEC19" s="174">
        <v>0.6</v>
      </c>
      <c r="MED19" s="173">
        <v>0.6</v>
      </c>
      <c r="MEE19" s="174">
        <v>0.59</v>
      </c>
      <c r="MEF19" s="175">
        <v>0.59</v>
      </c>
      <c r="MEG19" s="175">
        <v>0.58</v>
      </c>
      <c r="MEH19" s="175">
        <v>0.57</v>
      </c>
      <c r="MEI19" s="175">
        <v>0.55</v>
      </c>
      <c r="MEJ19" s="175">
        <v>0.53</v>
      </c>
      <c r="MEK19" s="157" t="s">
        <v>67</v>
      </c>
      <c r="MEL19" s="157"/>
      <c r="MEM19" s="157"/>
      <c r="MEN19" s="173">
        <v>0.62</v>
      </c>
      <c r="MEO19" s="173">
        <v>0.61</v>
      </c>
      <c r="MEP19" s="173">
        <v>0.61</v>
      </c>
      <c r="MEQ19" s="173">
        <v>0.61</v>
      </c>
      <c r="MER19" s="173">
        <v>0.6</v>
      </c>
      <c r="MES19" s="174">
        <v>0.6</v>
      </c>
      <c r="MET19" s="173">
        <v>0.6</v>
      </c>
      <c r="MEU19" s="174">
        <v>0.59</v>
      </c>
      <c r="MEV19" s="175">
        <v>0.59</v>
      </c>
      <c r="MEW19" s="175">
        <v>0.58</v>
      </c>
      <c r="MEX19" s="175">
        <v>0.57</v>
      </c>
      <c r="MEY19" s="175">
        <v>0.55</v>
      </c>
      <c r="MEZ19" s="175">
        <v>0.53</v>
      </c>
      <c r="MFA19" s="157" t="s">
        <v>67</v>
      </c>
      <c r="MFB19" s="157"/>
      <c r="MFC19" s="157"/>
      <c r="MFD19" s="173">
        <v>0.62</v>
      </c>
      <c r="MFE19" s="173">
        <v>0.61</v>
      </c>
      <c r="MFF19" s="173">
        <v>0.61</v>
      </c>
      <c r="MFG19" s="173">
        <v>0.61</v>
      </c>
      <c r="MFH19" s="173">
        <v>0.6</v>
      </c>
      <c r="MFI19" s="174">
        <v>0.6</v>
      </c>
      <c r="MFJ19" s="173">
        <v>0.6</v>
      </c>
      <c r="MFK19" s="174">
        <v>0.59</v>
      </c>
      <c r="MFL19" s="175">
        <v>0.59</v>
      </c>
      <c r="MFM19" s="175">
        <v>0.58</v>
      </c>
      <c r="MFN19" s="175">
        <v>0.57</v>
      </c>
      <c r="MFO19" s="175">
        <v>0.55</v>
      </c>
      <c r="MFP19" s="175">
        <v>0.53</v>
      </c>
      <c r="MFQ19" s="157" t="s">
        <v>67</v>
      </c>
      <c r="MFR19" s="157"/>
      <c r="MFS19" s="157"/>
      <c r="MFT19" s="173">
        <v>0.62</v>
      </c>
      <c r="MFU19" s="173">
        <v>0.61</v>
      </c>
      <c r="MFV19" s="173">
        <v>0.61</v>
      </c>
      <c r="MFW19" s="173">
        <v>0.61</v>
      </c>
      <c r="MFX19" s="173">
        <v>0.6</v>
      </c>
      <c r="MFY19" s="174">
        <v>0.6</v>
      </c>
      <c r="MFZ19" s="173">
        <v>0.6</v>
      </c>
      <c r="MGA19" s="174">
        <v>0.59</v>
      </c>
      <c r="MGB19" s="175">
        <v>0.59</v>
      </c>
      <c r="MGC19" s="175">
        <v>0.58</v>
      </c>
      <c r="MGD19" s="175">
        <v>0.57</v>
      </c>
      <c r="MGE19" s="175">
        <v>0.55</v>
      </c>
      <c r="MGF19" s="175">
        <v>0.53</v>
      </c>
      <c r="MGG19" s="157" t="s">
        <v>67</v>
      </c>
      <c r="MGH19" s="157"/>
      <c r="MGI19" s="157"/>
      <c r="MGJ19" s="173">
        <v>0.62</v>
      </c>
      <c r="MGK19" s="173">
        <v>0.61</v>
      </c>
      <c r="MGL19" s="173">
        <v>0.61</v>
      </c>
      <c r="MGM19" s="173">
        <v>0.61</v>
      </c>
      <c r="MGN19" s="173">
        <v>0.6</v>
      </c>
      <c r="MGO19" s="174">
        <v>0.6</v>
      </c>
      <c r="MGP19" s="173">
        <v>0.6</v>
      </c>
      <c r="MGQ19" s="174">
        <v>0.59</v>
      </c>
      <c r="MGR19" s="175">
        <v>0.59</v>
      </c>
      <c r="MGS19" s="175">
        <v>0.58</v>
      </c>
      <c r="MGT19" s="175">
        <v>0.57</v>
      </c>
      <c r="MGU19" s="175">
        <v>0.55</v>
      </c>
      <c r="MGV19" s="175">
        <v>0.53</v>
      </c>
      <c r="MGW19" s="157" t="s">
        <v>67</v>
      </c>
      <c r="MGX19" s="157"/>
      <c r="MGY19" s="157"/>
      <c r="MGZ19" s="173">
        <v>0.62</v>
      </c>
      <c r="MHA19" s="173">
        <v>0.61</v>
      </c>
      <c r="MHB19" s="173">
        <v>0.61</v>
      </c>
      <c r="MHC19" s="173">
        <v>0.61</v>
      </c>
      <c r="MHD19" s="173">
        <v>0.6</v>
      </c>
      <c r="MHE19" s="174">
        <v>0.6</v>
      </c>
      <c r="MHF19" s="173">
        <v>0.6</v>
      </c>
      <c r="MHG19" s="174">
        <v>0.59</v>
      </c>
      <c r="MHH19" s="175">
        <v>0.59</v>
      </c>
      <c r="MHI19" s="175">
        <v>0.58</v>
      </c>
      <c r="MHJ19" s="175">
        <v>0.57</v>
      </c>
      <c r="MHK19" s="175">
        <v>0.55</v>
      </c>
      <c r="MHL19" s="175">
        <v>0.53</v>
      </c>
      <c r="MHM19" s="157" t="s">
        <v>67</v>
      </c>
      <c r="MHN19" s="157"/>
      <c r="MHO19" s="157"/>
      <c r="MHP19" s="173">
        <v>0.62</v>
      </c>
      <c r="MHQ19" s="173">
        <v>0.61</v>
      </c>
      <c r="MHR19" s="173">
        <v>0.61</v>
      </c>
      <c r="MHS19" s="173">
        <v>0.61</v>
      </c>
      <c r="MHT19" s="173">
        <v>0.6</v>
      </c>
      <c r="MHU19" s="174">
        <v>0.6</v>
      </c>
      <c r="MHV19" s="173">
        <v>0.6</v>
      </c>
      <c r="MHW19" s="174">
        <v>0.59</v>
      </c>
      <c r="MHX19" s="175">
        <v>0.59</v>
      </c>
      <c r="MHY19" s="175">
        <v>0.58</v>
      </c>
      <c r="MHZ19" s="175">
        <v>0.57</v>
      </c>
      <c r="MIA19" s="175">
        <v>0.55</v>
      </c>
      <c r="MIB19" s="175">
        <v>0.53</v>
      </c>
      <c r="MIC19" s="157" t="s">
        <v>67</v>
      </c>
      <c r="MID19" s="157"/>
      <c r="MIE19" s="157"/>
      <c r="MIF19" s="173">
        <v>0.62</v>
      </c>
      <c r="MIG19" s="173">
        <v>0.61</v>
      </c>
      <c r="MIH19" s="173">
        <v>0.61</v>
      </c>
      <c r="MII19" s="173">
        <v>0.61</v>
      </c>
      <c r="MIJ19" s="173">
        <v>0.6</v>
      </c>
      <c r="MIK19" s="174">
        <v>0.6</v>
      </c>
      <c r="MIL19" s="173">
        <v>0.6</v>
      </c>
      <c r="MIM19" s="174">
        <v>0.59</v>
      </c>
      <c r="MIN19" s="175">
        <v>0.59</v>
      </c>
      <c r="MIO19" s="175">
        <v>0.58</v>
      </c>
      <c r="MIP19" s="175">
        <v>0.57</v>
      </c>
      <c r="MIQ19" s="175">
        <v>0.55</v>
      </c>
      <c r="MIR19" s="175">
        <v>0.53</v>
      </c>
      <c r="MIS19" s="157" t="s">
        <v>67</v>
      </c>
      <c r="MIT19" s="157"/>
      <c r="MIU19" s="157"/>
      <c r="MIV19" s="173">
        <v>0.62</v>
      </c>
      <c r="MIW19" s="173">
        <v>0.61</v>
      </c>
      <c r="MIX19" s="173">
        <v>0.61</v>
      </c>
      <c r="MIY19" s="173">
        <v>0.61</v>
      </c>
      <c r="MIZ19" s="173">
        <v>0.6</v>
      </c>
      <c r="MJA19" s="174">
        <v>0.6</v>
      </c>
      <c r="MJB19" s="173">
        <v>0.6</v>
      </c>
      <c r="MJC19" s="174">
        <v>0.59</v>
      </c>
      <c r="MJD19" s="175">
        <v>0.59</v>
      </c>
      <c r="MJE19" s="175">
        <v>0.58</v>
      </c>
      <c r="MJF19" s="175">
        <v>0.57</v>
      </c>
      <c r="MJG19" s="175">
        <v>0.55</v>
      </c>
      <c r="MJH19" s="175">
        <v>0.53</v>
      </c>
      <c r="MJI19" s="157" t="s">
        <v>67</v>
      </c>
      <c r="MJJ19" s="157"/>
      <c r="MJK19" s="157"/>
      <c r="MJL19" s="173">
        <v>0.62</v>
      </c>
      <c r="MJM19" s="173">
        <v>0.61</v>
      </c>
      <c r="MJN19" s="173">
        <v>0.61</v>
      </c>
      <c r="MJO19" s="173">
        <v>0.61</v>
      </c>
      <c r="MJP19" s="173">
        <v>0.6</v>
      </c>
      <c r="MJQ19" s="174">
        <v>0.6</v>
      </c>
      <c r="MJR19" s="173">
        <v>0.6</v>
      </c>
      <c r="MJS19" s="174">
        <v>0.59</v>
      </c>
      <c r="MJT19" s="175">
        <v>0.59</v>
      </c>
      <c r="MJU19" s="175">
        <v>0.58</v>
      </c>
      <c r="MJV19" s="175">
        <v>0.57</v>
      </c>
      <c r="MJW19" s="175">
        <v>0.55</v>
      </c>
      <c r="MJX19" s="175">
        <v>0.53</v>
      </c>
      <c r="MJY19" s="157" t="s">
        <v>67</v>
      </c>
      <c r="MJZ19" s="157"/>
      <c r="MKA19" s="157"/>
      <c r="MKB19" s="173">
        <v>0.62</v>
      </c>
      <c r="MKC19" s="173">
        <v>0.61</v>
      </c>
      <c r="MKD19" s="173">
        <v>0.61</v>
      </c>
      <c r="MKE19" s="173">
        <v>0.61</v>
      </c>
      <c r="MKF19" s="173">
        <v>0.6</v>
      </c>
      <c r="MKG19" s="174">
        <v>0.6</v>
      </c>
      <c r="MKH19" s="173">
        <v>0.6</v>
      </c>
      <c r="MKI19" s="174">
        <v>0.59</v>
      </c>
      <c r="MKJ19" s="175">
        <v>0.59</v>
      </c>
      <c r="MKK19" s="175">
        <v>0.58</v>
      </c>
      <c r="MKL19" s="175">
        <v>0.57</v>
      </c>
      <c r="MKM19" s="175">
        <v>0.55</v>
      </c>
      <c r="MKN19" s="175">
        <v>0.53</v>
      </c>
      <c r="MKO19" s="157" t="s">
        <v>67</v>
      </c>
      <c r="MKP19" s="157"/>
      <c r="MKQ19" s="157"/>
      <c r="MKR19" s="173">
        <v>0.62</v>
      </c>
      <c r="MKS19" s="173">
        <v>0.61</v>
      </c>
      <c r="MKT19" s="173">
        <v>0.61</v>
      </c>
      <c r="MKU19" s="173">
        <v>0.61</v>
      </c>
      <c r="MKV19" s="173">
        <v>0.6</v>
      </c>
      <c r="MKW19" s="174">
        <v>0.6</v>
      </c>
      <c r="MKX19" s="173">
        <v>0.6</v>
      </c>
      <c r="MKY19" s="174">
        <v>0.59</v>
      </c>
      <c r="MKZ19" s="175">
        <v>0.59</v>
      </c>
      <c r="MLA19" s="175">
        <v>0.58</v>
      </c>
      <c r="MLB19" s="175">
        <v>0.57</v>
      </c>
      <c r="MLC19" s="175">
        <v>0.55</v>
      </c>
      <c r="MLD19" s="175">
        <v>0.53</v>
      </c>
      <c r="MLE19" s="157" t="s">
        <v>67</v>
      </c>
      <c r="MLF19" s="157"/>
      <c r="MLG19" s="157"/>
      <c r="MLH19" s="173">
        <v>0.62</v>
      </c>
      <c r="MLI19" s="173">
        <v>0.61</v>
      </c>
      <c r="MLJ19" s="173">
        <v>0.61</v>
      </c>
      <c r="MLK19" s="173">
        <v>0.61</v>
      </c>
      <c r="MLL19" s="173">
        <v>0.6</v>
      </c>
      <c r="MLM19" s="174">
        <v>0.6</v>
      </c>
      <c r="MLN19" s="173">
        <v>0.6</v>
      </c>
      <c r="MLO19" s="174">
        <v>0.59</v>
      </c>
      <c r="MLP19" s="175">
        <v>0.59</v>
      </c>
      <c r="MLQ19" s="175">
        <v>0.58</v>
      </c>
      <c r="MLR19" s="175">
        <v>0.57</v>
      </c>
      <c r="MLS19" s="175">
        <v>0.55</v>
      </c>
      <c r="MLT19" s="175">
        <v>0.53</v>
      </c>
      <c r="MLU19" s="157" t="s">
        <v>67</v>
      </c>
      <c r="MLV19" s="157"/>
      <c r="MLW19" s="157"/>
      <c r="MLX19" s="173">
        <v>0.62</v>
      </c>
      <c r="MLY19" s="173">
        <v>0.61</v>
      </c>
      <c r="MLZ19" s="173">
        <v>0.61</v>
      </c>
      <c r="MMA19" s="173">
        <v>0.61</v>
      </c>
      <c r="MMB19" s="173">
        <v>0.6</v>
      </c>
      <c r="MMC19" s="174">
        <v>0.6</v>
      </c>
      <c r="MMD19" s="173">
        <v>0.6</v>
      </c>
      <c r="MME19" s="174">
        <v>0.59</v>
      </c>
      <c r="MMF19" s="175">
        <v>0.59</v>
      </c>
      <c r="MMG19" s="175">
        <v>0.58</v>
      </c>
      <c r="MMH19" s="175">
        <v>0.57</v>
      </c>
      <c r="MMI19" s="175">
        <v>0.55</v>
      </c>
      <c r="MMJ19" s="175">
        <v>0.53</v>
      </c>
      <c r="MMK19" s="157" t="s">
        <v>67</v>
      </c>
      <c r="MML19" s="157"/>
      <c r="MMM19" s="157"/>
      <c r="MMN19" s="173">
        <v>0.62</v>
      </c>
      <c r="MMO19" s="173">
        <v>0.61</v>
      </c>
      <c r="MMP19" s="173">
        <v>0.61</v>
      </c>
      <c r="MMQ19" s="173">
        <v>0.61</v>
      </c>
      <c r="MMR19" s="173">
        <v>0.6</v>
      </c>
      <c r="MMS19" s="174">
        <v>0.6</v>
      </c>
      <c r="MMT19" s="173">
        <v>0.6</v>
      </c>
      <c r="MMU19" s="174">
        <v>0.59</v>
      </c>
      <c r="MMV19" s="175">
        <v>0.59</v>
      </c>
      <c r="MMW19" s="175">
        <v>0.58</v>
      </c>
      <c r="MMX19" s="175">
        <v>0.57</v>
      </c>
      <c r="MMY19" s="175">
        <v>0.55</v>
      </c>
      <c r="MMZ19" s="175">
        <v>0.53</v>
      </c>
      <c r="MNA19" s="157" t="s">
        <v>67</v>
      </c>
      <c r="MNB19" s="157"/>
      <c r="MNC19" s="157"/>
      <c r="MND19" s="173">
        <v>0.62</v>
      </c>
      <c r="MNE19" s="173">
        <v>0.61</v>
      </c>
      <c r="MNF19" s="173">
        <v>0.61</v>
      </c>
      <c r="MNG19" s="173">
        <v>0.61</v>
      </c>
      <c r="MNH19" s="173">
        <v>0.6</v>
      </c>
      <c r="MNI19" s="174">
        <v>0.6</v>
      </c>
      <c r="MNJ19" s="173">
        <v>0.6</v>
      </c>
      <c r="MNK19" s="174">
        <v>0.59</v>
      </c>
      <c r="MNL19" s="175">
        <v>0.59</v>
      </c>
      <c r="MNM19" s="175">
        <v>0.58</v>
      </c>
      <c r="MNN19" s="175">
        <v>0.57</v>
      </c>
      <c r="MNO19" s="175">
        <v>0.55</v>
      </c>
      <c r="MNP19" s="175">
        <v>0.53</v>
      </c>
      <c r="MNQ19" s="157" t="s">
        <v>67</v>
      </c>
      <c r="MNR19" s="157"/>
      <c r="MNS19" s="157"/>
      <c r="MNT19" s="173">
        <v>0.62</v>
      </c>
      <c r="MNU19" s="173">
        <v>0.61</v>
      </c>
      <c r="MNV19" s="173">
        <v>0.61</v>
      </c>
      <c r="MNW19" s="173">
        <v>0.61</v>
      </c>
      <c r="MNX19" s="173">
        <v>0.6</v>
      </c>
      <c r="MNY19" s="174">
        <v>0.6</v>
      </c>
      <c r="MNZ19" s="173">
        <v>0.6</v>
      </c>
      <c r="MOA19" s="174">
        <v>0.59</v>
      </c>
      <c r="MOB19" s="175">
        <v>0.59</v>
      </c>
      <c r="MOC19" s="175">
        <v>0.58</v>
      </c>
      <c r="MOD19" s="175">
        <v>0.57</v>
      </c>
      <c r="MOE19" s="175">
        <v>0.55</v>
      </c>
      <c r="MOF19" s="175">
        <v>0.53</v>
      </c>
      <c r="MOG19" s="157" t="s">
        <v>67</v>
      </c>
      <c r="MOH19" s="157"/>
      <c r="MOI19" s="157"/>
      <c r="MOJ19" s="173">
        <v>0.62</v>
      </c>
      <c r="MOK19" s="173">
        <v>0.61</v>
      </c>
      <c r="MOL19" s="173">
        <v>0.61</v>
      </c>
      <c r="MOM19" s="173">
        <v>0.61</v>
      </c>
      <c r="MON19" s="173">
        <v>0.6</v>
      </c>
      <c r="MOO19" s="174">
        <v>0.6</v>
      </c>
      <c r="MOP19" s="173">
        <v>0.6</v>
      </c>
      <c r="MOQ19" s="174">
        <v>0.59</v>
      </c>
      <c r="MOR19" s="175">
        <v>0.59</v>
      </c>
      <c r="MOS19" s="175">
        <v>0.58</v>
      </c>
      <c r="MOT19" s="175">
        <v>0.57</v>
      </c>
      <c r="MOU19" s="175">
        <v>0.55</v>
      </c>
      <c r="MOV19" s="175">
        <v>0.53</v>
      </c>
      <c r="MOW19" s="157" t="s">
        <v>67</v>
      </c>
      <c r="MOX19" s="157"/>
      <c r="MOY19" s="157"/>
      <c r="MOZ19" s="173">
        <v>0.62</v>
      </c>
      <c r="MPA19" s="173">
        <v>0.61</v>
      </c>
      <c r="MPB19" s="173">
        <v>0.61</v>
      </c>
      <c r="MPC19" s="173">
        <v>0.61</v>
      </c>
      <c r="MPD19" s="173">
        <v>0.6</v>
      </c>
      <c r="MPE19" s="174">
        <v>0.6</v>
      </c>
      <c r="MPF19" s="173">
        <v>0.6</v>
      </c>
      <c r="MPG19" s="174">
        <v>0.59</v>
      </c>
      <c r="MPH19" s="175">
        <v>0.59</v>
      </c>
      <c r="MPI19" s="175">
        <v>0.58</v>
      </c>
      <c r="MPJ19" s="175">
        <v>0.57</v>
      </c>
      <c r="MPK19" s="175">
        <v>0.55</v>
      </c>
      <c r="MPL19" s="175">
        <v>0.53</v>
      </c>
      <c r="MPM19" s="157" t="s">
        <v>67</v>
      </c>
      <c r="MPN19" s="157"/>
      <c r="MPO19" s="157"/>
      <c r="MPP19" s="173">
        <v>0.62</v>
      </c>
      <c r="MPQ19" s="173">
        <v>0.61</v>
      </c>
      <c r="MPR19" s="173">
        <v>0.61</v>
      </c>
      <c r="MPS19" s="173">
        <v>0.61</v>
      </c>
      <c r="MPT19" s="173">
        <v>0.6</v>
      </c>
      <c r="MPU19" s="174">
        <v>0.6</v>
      </c>
      <c r="MPV19" s="173">
        <v>0.6</v>
      </c>
      <c r="MPW19" s="174">
        <v>0.59</v>
      </c>
      <c r="MPX19" s="175">
        <v>0.59</v>
      </c>
      <c r="MPY19" s="175">
        <v>0.58</v>
      </c>
      <c r="MPZ19" s="175">
        <v>0.57</v>
      </c>
      <c r="MQA19" s="175">
        <v>0.55</v>
      </c>
      <c r="MQB19" s="175">
        <v>0.53</v>
      </c>
      <c r="MQC19" s="157" t="s">
        <v>67</v>
      </c>
      <c r="MQD19" s="157"/>
      <c r="MQE19" s="157"/>
      <c r="MQF19" s="173">
        <v>0.62</v>
      </c>
      <c r="MQG19" s="173">
        <v>0.61</v>
      </c>
      <c r="MQH19" s="173">
        <v>0.61</v>
      </c>
      <c r="MQI19" s="173">
        <v>0.61</v>
      </c>
      <c r="MQJ19" s="173">
        <v>0.6</v>
      </c>
      <c r="MQK19" s="174">
        <v>0.6</v>
      </c>
      <c r="MQL19" s="173">
        <v>0.6</v>
      </c>
      <c r="MQM19" s="174">
        <v>0.59</v>
      </c>
      <c r="MQN19" s="175">
        <v>0.59</v>
      </c>
      <c r="MQO19" s="175">
        <v>0.58</v>
      </c>
      <c r="MQP19" s="175">
        <v>0.57</v>
      </c>
      <c r="MQQ19" s="175">
        <v>0.55</v>
      </c>
      <c r="MQR19" s="175">
        <v>0.53</v>
      </c>
      <c r="MQS19" s="157" t="s">
        <v>67</v>
      </c>
      <c r="MQT19" s="157"/>
      <c r="MQU19" s="157"/>
      <c r="MQV19" s="173">
        <v>0.62</v>
      </c>
      <c r="MQW19" s="173">
        <v>0.61</v>
      </c>
      <c r="MQX19" s="173">
        <v>0.61</v>
      </c>
      <c r="MQY19" s="173">
        <v>0.61</v>
      </c>
      <c r="MQZ19" s="173">
        <v>0.6</v>
      </c>
      <c r="MRA19" s="174">
        <v>0.6</v>
      </c>
      <c r="MRB19" s="173">
        <v>0.6</v>
      </c>
      <c r="MRC19" s="174">
        <v>0.59</v>
      </c>
      <c r="MRD19" s="175">
        <v>0.59</v>
      </c>
      <c r="MRE19" s="175">
        <v>0.58</v>
      </c>
      <c r="MRF19" s="175">
        <v>0.57</v>
      </c>
      <c r="MRG19" s="175">
        <v>0.55</v>
      </c>
      <c r="MRH19" s="175">
        <v>0.53</v>
      </c>
      <c r="MRI19" s="157" t="s">
        <v>67</v>
      </c>
      <c r="MRJ19" s="157"/>
      <c r="MRK19" s="157"/>
      <c r="MRL19" s="173">
        <v>0.62</v>
      </c>
      <c r="MRM19" s="173">
        <v>0.61</v>
      </c>
      <c r="MRN19" s="173">
        <v>0.61</v>
      </c>
      <c r="MRO19" s="173">
        <v>0.61</v>
      </c>
      <c r="MRP19" s="173">
        <v>0.6</v>
      </c>
      <c r="MRQ19" s="174">
        <v>0.6</v>
      </c>
      <c r="MRR19" s="173">
        <v>0.6</v>
      </c>
      <c r="MRS19" s="174">
        <v>0.59</v>
      </c>
      <c r="MRT19" s="175">
        <v>0.59</v>
      </c>
      <c r="MRU19" s="175">
        <v>0.58</v>
      </c>
      <c r="MRV19" s="175">
        <v>0.57</v>
      </c>
      <c r="MRW19" s="175">
        <v>0.55</v>
      </c>
      <c r="MRX19" s="175">
        <v>0.53</v>
      </c>
      <c r="MRY19" s="157" t="s">
        <v>67</v>
      </c>
      <c r="MRZ19" s="157"/>
      <c r="MSA19" s="157"/>
      <c r="MSB19" s="173">
        <v>0.62</v>
      </c>
      <c r="MSC19" s="173">
        <v>0.61</v>
      </c>
      <c r="MSD19" s="173">
        <v>0.61</v>
      </c>
      <c r="MSE19" s="173">
        <v>0.61</v>
      </c>
      <c r="MSF19" s="173">
        <v>0.6</v>
      </c>
      <c r="MSG19" s="174">
        <v>0.6</v>
      </c>
      <c r="MSH19" s="173">
        <v>0.6</v>
      </c>
      <c r="MSI19" s="174">
        <v>0.59</v>
      </c>
      <c r="MSJ19" s="175">
        <v>0.59</v>
      </c>
      <c r="MSK19" s="175">
        <v>0.58</v>
      </c>
      <c r="MSL19" s="175">
        <v>0.57</v>
      </c>
      <c r="MSM19" s="175">
        <v>0.55</v>
      </c>
      <c r="MSN19" s="175">
        <v>0.53</v>
      </c>
      <c r="MSO19" s="157" t="s">
        <v>67</v>
      </c>
      <c r="MSP19" s="157"/>
      <c r="MSQ19" s="157"/>
      <c r="MSR19" s="173">
        <v>0.62</v>
      </c>
      <c r="MSS19" s="173">
        <v>0.61</v>
      </c>
      <c r="MST19" s="173">
        <v>0.61</v>
      </c>
      <c r="MSU19" s="173">
        <v>0.61</v>
      </c>
      <c r="MSV19" s="173">
        <v>0.6</v>
      </c>
      <c r="MSW19" s="174">
        <v>0.6</v>
      </c>
      <c r="MSX19" s="173">
        <v>0.6</v>
      </c>
      <c r="MSY19" s="174">
        <v>0.59</v>
      </c>
      <c r="MSZ19" s="175">
        <v>0.59</v>
      </c>
      <c r="MTA19" s="175">
        <v>0.58</v>
      </c>
      <c r="MTB19" s="175">
        <v>0.57</v>
      </c>
      <c r="MTC19" s="175">
        <v>0.55</v>
      </c>
      <c r="MTD19" s="175">
        <v>0.53</v>
      </c>
      <c r="MTE19" s="157" t="s">
        <v>67</v>
      </c>
      <c r="MTF19" s="157"/>
      <c r="MTG19" s="157"/>
      <c r="MTH19" s="173">
        <v>0.62</v>
      </c>
      <c r="MTI19" s="173">
        <v>0.61</v>
      </c>
      <c r="MTJ19" s="173">
        <v>0.61</v>
      </c>
      <c r="MTK19" s="173">
        <v>0.61</v>
      </c>
      <c r="MTL19" s="173">
        <v>0.6</v>
      </c>
      <c r="MTM19" s="174">
        <v>0.6</v>
      </c>
      <c r="MTN19" s="173">
        <v>0.6</v>
      </c>
      <c r="MTO19" s="174">
        <v>0.59</v>
      </c>
      <c r="MTP19" s="175">
        <v>0.59</v>
      </c>
      <c r="MTQ19" s="175">
        <v>0.58</v>
      </c>
      <c r="MTR19" s="175">
        <v>0.57</v>
      </c>
      <c r="MTS19" s="175">
        <v>0.55</v>
      </c>
      <c r="MTT19" s="175">
        <v>0.53</v>
      </c>
      <c r="MTU19" s="157" t="s">
        <v>67</v>
      </c>
      <c r="MTV19" s="157"/>
      <c r="MTW19" s="157"/>
      <c r="MTX19" s="173">
        <v>0.62</v>
      </c>
      <c r="MTY19" s="173">
        <v>0.61</v>
      </c>
      <c r="MTZ19" s="173">
        <v>0.61</v>
      </c>
      <c r="MUA19" s="173">
        <v>0.61</v>
      </c>
      <c r="MUB19" s="173">
        <v>0.6</v>
      </c>
      <c r="MUC19" s="174">
        <v>0.6</v>
      </c>
      <c r="MUD19" s="173">
        <v>0.6</v>
      </c>
      <c r="MUE19" s="174">
        <v>0.59</v>
      </c>
      <c r="MUF19" s="175">
        <v>0.59</v>
      </c>
      <c r="MUG19" s="175">
        <v>0.58</v>
      </c>
      <c r="MUH19" s="175">
        <v>0.57</v>
      </c>
      <c r="MUI19" s="175">
        <v>0.55</v>
      </c>
      <c r="MUJ19" s="175">
        <v>0.53</v>
      </c>
      <c r="MUK19" s="157" t="s">
        <v>67</v>
      </c>
      <c r="MUL19" s="157"/>
      <c r="MUM19" s="157"/>
      <c r="MUN19" s="173">
        <v>0.62</v>
      </c>
      <c r="MUO19" s="173">
        <v>0.61</v>
      </c>
      <c r="MUP19" s="173">
        <v>0.61</v>
      </c>
      <c r="MUQ19" s="173">
        <v>0.61</v>
      </c>
      <c r="MUR19" s="173">
        <v>0.6</v>
      </c>
      <c r="MUS19" s="174">
        <v>0.6</v>
      </c>
      <c r="MUT19" s="173">
        <v>0.6</v>
      </c>
      <c r="MUU19" s="174">
        <v>0.59</v>
      </c>
      <c r="MUV19" s="175">
        <v>0.59</v>
      </c>
      <c r="MUW19" s="175">
        <v>0.58</v>
      </c>
      <c r="MUX19" s="175">
        <v>0.57</v>
      </c>
      <c r="MUY19" s="175">
        <v>0.55</v>
      </c>
      <c r="MUZ19" s="175">
        <v>0.53</v>
      </c>
      <c r="MVA19" s="157" t="s">
        <v>67</v>
      </c>
      <c r="MVB19" s="157"/>
      <c r="MVC19" s="157"/>
      <c r="MVD19" s="173">
        <v>0.62</v>
      </c>
      <c r="MVE19" s="173">
        <v>0.61</v>
      </c>
      <c r="MVF19" s="173">
        <v>0.61</v>
      </c>
      <c r="MVG19" s="173">
        <v>0.61</v>
      </c>
      <c r="MVH19" s="173">
        <v>0.6</v>
      </c>
      <c r="MVI19" s="174">
        <v>0.6</v>
      </c>
      <c r="MVJ19" s="173">
        <v>0.6</v>
      </c>
      <c r="MVK19" s="174">
        <v>0.59</v>
      </c>
      <c r="MVL19" s="175">
        <v>0.59</v>
      </c>
      <c r="MVM19" s="175">
        <v>0.58</v>
      </c>
      <c r="MVN19" s="175">
        <v>0.57</v>
      </c>
      <c r="MVO19" s="175">
        <v>0.55</v>
      </c>
      <c r="MVP19" s="175">
        <v>0.53</v>
      </c>
      <c r="MVQ19" s="157" t="s">
        <v>67</v>
      </c>
      <c r="MVR19" s="157"/>
      <c r="MVS19" s="157"/>
      <c r="MVT19" s="173">
        <v>0.62</v>
      </c>
      <c r="MVU19" s="173">
        <v>0.61</v>
      </c>
      <c r="MVV19" s="173">
        <v>0.61</v>
      </c>
      <c r="MVW19" s="173">
        <v>0.61</v>
      </c>
      <c r="MVX19" s="173">
        <v>0.6</v>
      </c>
      <c r="MVY19" s="174">
        <v>0.6</v>
      </c>
      <c r="MVZ19" s="173">
        <v>0.6</v>
      </c>
      <c r="MWA19" s="174">
        <v>0.59</v>
      </c>
      <c r="MWB19" s="175">
        <v>0.59</v>
      </c>
      <c r="MWC19" s="175">
        <v>0.58</v>
      </c>
      <c r="MWD19" s="175">
        <v>0.57</v>
      </c>
      <c r="MWE19" s="175">
        <v>0.55</v>
      </c>
      <c r="MWF19" s="175">
        <v>0.53</v>
      </c>
      <c r="MWG19" s="157" t="s">
        <v>67</v>
      </c>
      <c r="MWH19" s="157"/>
      <c r="MWI19" s="157"/>
      <c r="MWJ19" s="173">
        <v>0.62</v>
      </c>
      <c r="MWK19" s="173">
        <v>0.61</v>
      </c>
      <c r="MWL19" s="173">
        <v>0.61</v>
      </c>
      <c r="MWM19" s="173">
        <v>0.61</v>
      </c>
      <c r="MWN19" s="173">
        <v>0.6</v>
      </c>
      <c r="MWO19" s="174">
        <v>0.6</v>
      </c>
      <c r="MWP19" s="173">
        <v>0.6</v>
      </c>
      <c r="MWQ19" s="174">
        <v>0.59</v>
      </c>
      <c r="MWR19" s="175">
        <v>0.59</v>
      </c>
      <c r="MWS19" s="175">
        <v>0.58</v>
      </c>
      <c r="MWT19" s="175">
        <v>0.57</v>
      </c>
      <c r="MWU19" s="175">
        <v>0.55</v>
      </c>
      <c r="MWV19" s="175">
        <v>0.53</v>
      </c>
      <c r="MWW19" s="157" t="s">
        <v>67</v>
      </c>
      <c r="MWX19" s="157"/>
      <c r="MWY19" s="157"/>
      <c r="MWZ19" s="173">
        <v>0.62</v>
      </c>
      <c r="MXA19" s="173">
        <v>0.61</v>
      </c>
      <c r="MXB19" s="173">
        <v>0.61</v>
      </c>
      <c r="MXC19" s="173">
        <v>0.61</v>
      </c>
      <c r="MXD19" s="173">
        <v>0.6</v>
      </c>
      <c r="MXE19" s="174">
        <v>0.6</v>
      </c>
      <c r="MXF19" s="173">
        <v>0.6</v>
      </c>
      <c r="MXG19" s="174">
        <v>0.59</v>
      </c>
      <c r="MXH19" s="175">
        <v>0.59</v>
      </c>
      <c r="MXI19" s="175">
        <v>0.58</v>
      </c>
      <c r="MXJ19" s="175">
        <v>0.57</v>
      </c>
      <c r="MXK19" s="175">
        <v>0.55</v>
      </c>
      <c r="MXL19" s="175">
        <v>0.53</v>
      </c>
      <c r="MXM19" s="157" t="s">
        <v>67</v>
      </c>
      <c r="MXN19" s="157"/>
      <c r="MXO19" s="157"/>
      <c r="MXP19" s="173">
        <v>0.62</v>
      </c>
      <c r="MXQ19" s="173">
        <v>0.61</v>
      </c>
      <c r="MXR19" s="173">
        <v>0.61</v>
      </c>
      <c r="MXS19" s="173">
        <v>0.61</v>
      </c>
      <c r="MXT19" s="173">
        <v>0.6</v>
      </c>
      <c r="MXU19" s="174">
        <v>0.6</v>
      </c>
      <c r="MXV19" s="173">
        <v>0.6</v>
      </c>
      <c r="MXW19" s="174">
        <v>0.59</v>
      </c>
      <c r="MXX19" s="175">
        <v>0.59</v>
      </c>
      <c r="MXY19" s="175">
        <v>0.58</v>
      </c>
      <c r="MXZ19" s="175">
        <v>0.57</v>
      </c>
      <c r="MYA19" s="175">
        <v>0.55</v>
      </c>
      <c r="MYB19" s="175">
        <v>0.53</v>
      </c>
      <c r="MYC19" s="157" t="s">
        <v>67</v>
      </c>
      <c r="MYD19" s="157"/>
      <c r="MYE19" s="157"/>
      <c r="MYF19" s="173">
        <v>0.62</v>
      </c>
      <c r="MYG19" s="173">
        <v>0.61</v>
      </c>
      <c r="MYH19" s="173">
        <v>0.61</v>
      </c>
      <c r="MYI19" s="173">
        <v>0.61</v>
      </c>
      <c r="MYJ19" s="173">
        <v>0.6</v>
      </c>
      <c r="MYK19" s="174">
        <v>0.6</v>
      </c>
      <c r="MYL19" s="173">
        <v>0.6</v>
      </c>
      <c r="MYM19" s="174">
        <v>0.59</v>
      </c>
      <c r="MYN19" s="175">
        <v>0.59</v>
      </c>
      <c r="MYO19" s="175">
        <v>0.58</v>
      </c>
      <c r="MYP19" s="175">
        <v>0.57</v>
      </c>
      <c r="MYQ19" s="175">
        <v>0.55</v>
      </c>
      <c r="MYR19" s="175">
        <v>0.53</v>
      </c>
      <c r="MYS19" s="157" t="s">
        <v>67</v>
      </c>
      <c r="MYT19" s="157"/>
      <c r="MYU19" s="157"/>
      <c r="MYV19" s="173">
        <v>0.62</v>
      </c>
      <c r="MYW19" s="173">
        <v>0.61</v>
      </c>
      <c r="MYX19" s="173">
        <v>0.61</v>
      </c>
      <c r="MYY19" s="173">
        <v>0.61</v>
      </c>
      <c r="MYZ19" s="173">
        <v>0.6</v>
      </c>
      <c r="MZA19" s="174">
        <v>0.6</v>
      </c>
      <c r="MZB19" s="173">
        <v>0.6</v>
      </c>
      <c r="MZC19" s="174">
        <v>0.59</v>
      </c>
      <c r="MZD19" s="175">
        <v>0.59</v>
      </c>
      <c r="MZE19" s="175">
        <v>0.58</v>
      </c>
      <c r="MZF19" s="175">
        <v>0.57</v>
      </c>
      <c r="MZG19" s="175">
        <v>0.55</v>
      </c>
      <c r="MZH19" s="175">
        <v>0.53</v>
      </c>
      <c r="MZI19" s="157" t="s">
        <v>67</v>
      </c>
      <c r="MZJ19" s="157"/>
      <c r="MZK19" s="157"/>
      <c r="MZL19" s="173">
        <v>0.62</v>
      </c>
      <c r="MZM19" s="173">
        <v>0.61</v>
      </c>
      <c r="MZN19" s="173">
        <v>0.61</v>
      </c>
      <c r="MZO19" s="173">
        <v>0.61</v>
      </c>
      <c r="MZP19" s="173">
        <v>0.6</v>
      </c>
      <c r="MZQ19" s="174">
        <v>0.6</v>
      </c>
      <c r="MZR19" s="173">
        <v>0.6</v>
      </c>
      <c r="MZS19" s="174">
        <v>0.59</v>
      </c>
      <c r="MZT19" s="175">
        <v>0.59</v>
      </c>
      <c r="MZU19" s="175">
        <v>0.58</v>
      </c>
      <c r="MZV19" s="175">
        <v>0.57</v>
      </c>
      <c r="MZW19" s="175">
        <v>0.55</v>
      </c>
      <c r="MZX19" s="175">
        <v>0.53</v>
      </c>
      <c r="MZY19" s="157" t="s">
        <v>67</v>
      </c>
      <c r="MZZ19" s="157"/>
      <c r="NAA19" s="157"/>
      <c r="NAB19" s="173">
        <v>0.62</v>
      </c>
      <c r="NAC19" s="173">
        <v>0.61</v>
      </c>
      <c r="NAD19" s="173">
        <v>0.61</v>
      </c>
      <c r="NAE19" s="173">
        <v>0.61</v>
      </c>
      <c r="NAF19" s="173">
        <v>0.6</v>
      </c>
      <c r="NAG19" s="174">
        <v>0.6</v>
      </c>
      <c r="NAH19" s="173">
        <v>0.6</v>
      </c>
      <c r="NAI19" s="174">
        <v>0.59</v>
      </c>
      <c r="NAJ19" s="175">
        <v>0.59</v>
      </c>
      <c r="NAK19" s="175">
        <v>0.58</v>
      </c>
      <c r="NAL19" s="175">
        <v>0.57</v>
      </c>
      <c r="NAM19" s="175">
        <v>0.55</v>
      </c>
      <c r="NAN19" s="175">
        <v>0.53</v>
      </c>
      <c r="NAO19" s="157" t="s">
        <v>67</v>
      </c>
      <c r="NAP19" s="157"/>
      <c r="NAQ19" s="157"/>
      <c r="NAR19" s="173">
        <v>0.62</v>
      </c>
      <c r="NAS19" s="173">
        <v>0.61</v>
      </c>
      <c r="NAT19" s="173">
        <v>0.61</v>
      </c>
      <c r="NAU19" s="173">
        <v>0.61</v>
      </c>
      <c r="NAV19" s="173">
        <v>0.6</v>
      </c>
      <c r="NAW19" s="174">
        <v>0.6</v>
      </c>
      <c r="NAX19" s="173">
        <v>0.6</v>
      </c>
      <c r="NAY19" s="174">
        <v>0.59</v>
      </c>
      <c r="NAZ19" s="175">
        <v>0.59</v>
      </c>
      <c r="NBA19" s="175">
        <v>0.58</v>
      </c>
      <c r="NBB19" s="175">
        <v>0.57</v>
      </c>
      <c r="NBC19" s="175">
        <v>0.55</v>
      </c>
      <c r="NBD19" s="175">
        <v>0.53</v>
      </c>
      <c r="NBE19" s="157" t="s">
        <v>67</v>
      </c>
      <c r="NBF19" s="157"/>
      <c r="NBG19" s="157"/>
      <c r="NBH19" s="173">
        <v>0.62</v>
      </c>
      <c r="NBI19" s="173">
        <v>0.61</v>
      </c>
      <c r="NBJ19" s="173">
        <v>0.61</v>
      </c>
      <c r="NBK19" s="173">
        <v>0.61</v>
      </c>
      <c r="NBL19" s="173">
        <v>0.6</v>
      </c>
      <c r="NBM19" s="174">
        <v>0.6</v>
      </c>
      <c r="NBN19" s="173">
        <v>0.6</v>
      </c>
      <c r="NBO19" s="174">
        <v>0.59</v>
      </c>
      <c r="NBP19" s="175">
        <v>0.59</v>
      </c>
      <c r="NBQ19" s="175">
        <v>0.58</v>
      </c>
      <c r="NBR19" s="175">
        <v>0.57</v>
      </c>
      <c r="NBS19" s="175">
        <v>0.55</v>
      </c>
      <c r="NBT19" s="175">
        <v>0.53</v>
      </c>
      <c r="NBU19" s="157" t="s">
        <v>67</v>
      </c>
      <c r="NBV19" s="157"/>
      <c r="NBW19" s="157"/>
      <c r="NBX19" s="173">
        <v>0.62</v>
      </c>
      <c r="NBY19" s="173">
        <v>0.61</v>
      </c>
      <c r="NBZ19" s="173">
        <v>0.61</v>
      </c>
      <c r="NCA19" s="173">
        <v>0.61</v>
      </c>
      <c r="NCB19" s="173">
        <v>0.6</v>
      </c>
      <c r="NCC19" s="174">
        <v>0.6</v>
      </c>
      <c r="NCD19" s="173">
        <v>0.6</v>
      </c>
      <c r="NCE19" s="174">
        <v>0.59</v>
      </c>
      <c r="NCF19" s="175">
        <v>0.59</v>
      </c>
      <c r="NCG19" s="175">
        <v>0.58</v>
      </c>
      <c r="NCH19" s="175">
        <v>0.57</v>
      </c>
      <c r="NCI19" s="175">
        <v>0.55</v>
      </c>
      <c r="NCJ19" s="175">
        <v>0.53</v>
      </c>
      <c r="NCK19" s="157" t="s">
        <v>67</v>
      </c>
      <c r="NCL19" s="157"/>
      <c r="NCM19" s="157"/>
      <c r="NCN19" s="173">
        <v>0.62</v>
      </c>
      <c r="NCO19" s="173">
        <v>0.61</v>
      </c>
      <c r="NCP19" s="173">
        <v>0.61</v>
      </c>
      <c r="NCQ19" s="173">
        <v>0.61</v>
      </c>
      <c r="NCR19" s="173">
        <v>0.6</v>
      </c>
      <c r="NCS19" s="174">
        <v>0.6</v>
      </c>
      <c r="NCT19" s="173">
        <v>0.6</v>
      </c>
      <c r="NCU19" s="174">
        <v>0.59</v>
      </c>
      <c r="NCV19" s="175">
        <v>0.59</v>
      </c>
      <c r="NCW19" s="175">
        <v>0.58</v>
      </c>
      <c r="NCX19" s="175">
        <v>0.57</v>
      </c>
      <c r="NCY19" s="175">
        <v>0.55</v>
      </c>
      <c r="NCZ19" s="175">
        <v>0.53</v>
      </c>
      <c r="NDA19" s="157" t="s">
        <v>67</v>
      </c>
      <c r="NDB19" s="157"/>
      <c r="NDC19" s="157"/>
      <c r="NDD19" s="173">
        <v>0.62</v>
      </c>
      <c r="NDE19" s="173">
        <v>0.61</v>
      </c>
      <c r="NDF19" s="173">
        <v>0.61</v>
      </c>
      <c r="NDG19" s="173">
        <v>0.61</v>
      </c>
      <c r="NDH19" s="173">
        <v>0.6</v>
      </c>
      <c r="NDI19" s="174">
        <v>0.6</v>
      </c>
      <c r="NDJ19" s="173">
        <v>0.6</v>
      </c>
      <c r="NDK19" s="174">
        <v>0.59</v>
      </c>
      <c r="NDL19" s="175">
        <v>0.59</v>
      </c>
      <c r="NDM19" s="175">
        <v>0.58</v>
      </c>
      <c r="NDN19" s="175">
        <v>0.57</v>
      </c>
      <c r="NDO19" s="175">
        <v>0.55</v>
      </c>
      <c r="NDP19" s="175">
        <v>0.53</v>
      </c>
      <c r="NDQ19" s="157" t="s">
        <v>67</v>
      </c>
      <c r="NDR19" s="157"/>
      <c r="NDS19" s="157"/>
      <c r="NDT19" s="173">
        <v>0.62</v>
      </c>
      <c r="NDU19" s="173">
        <v>0.61</v>
      </c>
      <c r="NDV19" s="173">
        <v>0.61</v>
      </c>
      <c r="NDW19" s="173">
        <v>0.61</v>
      </c>
      <c r="NDX19" s="173">
        <v>0.6</v>
      </c>
      <c r="NDY19" s="174">
        <v>0.6</v>
      </c>
      <c r="NDZ19" s="173">
        <v>0.6</v>
      </c>
      <c r="NEA19" s="174">
        <v>0.59</v>
      </c>
      <c r="NEB19" s="175">
        <v>0.59</v>
      </c>
      <c r="NEC19" s="175">
        <v>0.58</v>
      </c>
      <c r="NED19" s="175">
        <v>0.57</v>
      </c>
      <c r="NEE19" s="175">
        <v>0.55</v>
      </c>
      <c r="NEF19" s="175">
        <v>0.53</v>
      </c>
      <c r="NEG19" s="157" t="s">
        <v>67</v>
      </c>
      <c r="NEH19" s="157"/>
      <c r="NEI19" s="157"/>
      <c r="NEJ19" s="173">
        <v>0.62</v>
      </c>
      <c r="NEK19" s="173">
        <v>0.61</v>
      </c>
      <c r="NEL19" s="173">
        <v>0.61</v>
      </c>
      <c r="NEM19" s="173">
        <v>0.61</v>
      </c>
      <c r="NEN19" s="173">
        <v>0.6</v>
      </c>
      <c r="NEO19" s="174">
        <v>0.6</v>
      </c>
      <c r="NEP19" s="173">
        <v>0.6</v>
      </c>
      <c r="NEQ19" s="174">
        <v>0.59</v>
      </c>
      <c r="NER19" s="175">
        <v>0.59</v>
      </c>
      <c r="NES19" s="175">
        <v>0.58</v>
      </c>
      <c r="NET19" s="175">
        <v>0.57</v>
      </c>
      <c r="NEU19" s="175">
        <v>0.55</v>
      </c>
      <c r="NEV19" s="175">
        <v>0.53</v>
      </c>
      <c r="NEW19" s="157" t="s">
        <v>67</v>
      </c>
      <c r="NEX19" s="157"/>
      <c r="NEY19" s="157"/>
      <c r="NEZ19" s="173">
        <v>0.62</v>
      </c>
      <c r="NFA19" s="173">
        <v>0.61</v>
      </c>
      <c r="NFB19" s="173">
        <v>0.61</v>
      </c>
      <c r="NFC19" s="173">
        <v>0.61</v>
      </c>
      <c r="NFD19" s="173">
        <v>0.6</v>
      </c>
      <c r="NFE19" s="174">
        <v>0.6</v>
      </c>
      <c r="NFF19" s="173">
        <v>0.6</v>
      </c>
      <c r="NFG19" s="174">
        <v>0.59</v>
      </c>
      <c r="NFH19" s="175">
        <v>0.59</v>
      </c>
      <c r="NFI19" s="175">
        <v>0.58</v>
      </c>
      <c r="NFJ19" s="175">
        <v>0.57</v>
      </c>
      <c r="NFK19" s="175">
        <v>0.55</v>
      </c>
      <c r="NFL19" s="175">
        <v>0.53</v>
      </c>
      <c r="NFM19" s="157" t="s">
        <v>67</v>
      </c>
      <c r="NFN19" s="157"/>
      <c r="NFO19" s="157"/>
      <c r="NFP19" s="173">
        <v>0.62</v>
      </c>
      <c r="NFQ19" s="173">
        <v>0.61</v>
      </c>
      <c r="NFR19" s="173">
        <v>0.61</v>
      </c>
      <c r="NFS19" s="173">
        <v>0.61</v>
      </c>
      <c r="NFT19" s="173">
        <v>0.6</v>
      </c>
      <c r="NFU19" s="174">
        <v>0.6</v>
      </c>
      <c r="NFV19" s="173">
        <v>0.6</v>
      </c>
      <c r="NFW19" s="174">
        <v>0.59</v>
      </c>
      <c r="NFX19" s="175">
        <v>0.59</v>
      </c>
      <c r="NFY19" s="175">
        <v>0.58</v>
      </c>
      <c r="NFZ19" s="175">
        <v>0.57</v>
      </c>
      <c r="NGA19" s="175">
        <v>0.55</v>
      </c>
      <c r="NGB19" s="175">
        <v>0.53</v>
      </c>
      <c r="NGC19" s="157" t="s">
        <v>67</v>
      </c>
      <c r="NGD19" s="157"/>
      <c r="NGE19" s="157"/>
      <c r="NGF19" s="173">
        <v>0.62</v>
      </c>
      <c r="NGG19" s="173">
        <v>0.61</v>
      </c>
      <c r="NGH19" s="173">
        <v>0.61</v>
      </c>
      <c r="NGI19" s="173">
        <v>0.61</v>
      </c>
      <c r="NGJ19" s="173">
        <v>0.6</v>
      </c>
      <c r="NGK19" s="174">
        <v>0.6</v>
      </c>
      <c r="NGL19" s="173">
        <v>0.6</v>
      </c>
      <c r="NGM19" s="174">
        <v>0.59</v>
      </c>
      <c r="NGN19" s="175">
        <v>0.59</v>
      </c>
      <c r="NGO19" s="175">
        <v>0.58</v>
      </c>
      <c r="NGP19" s="175">
        <v>0.57</v>
      </c>
      <c r="NGQ19" s="175">
        <v>0.55</v>
      </c>
      <c r="NGR19" s="175">
        <v>0.53</v>
      </c>
      <c r="NGS19" s="157" t="s">
        <v>67</v>
      </c>
      <c r="NGT19" s="157"/>
      <c r="NGU19" s="157"/>
      <c r="NGV19" s="173">
        <v>0.62</v>
      </c>
      <c r="NGW19" s="173">
        <v>0.61</v>
      </c>
      <c r="NGX19" s="173">
        <v>0.61</v>
      </c>
      <c r="NGY19" s="173">
        <v>0.61</v>
      </c>
      <c r="NGZ19" s="173">
        <v>0.6</v>
      </c>
      <c r="NHA19" s="174">
        <v>0.6</v>
      </c>
      <c r="NHB19" s="173">
        <v>0.6</v>
      </c>
      <c r="NHC19" s="174">
        <v>0.59</v>
      </c>
      <c r="NHD19" s="175">
        <v>0.59</v>
      </c>
      <c r="NHE19" s="175">
        <v>0.58</v>
      </c>
      <c r="NHF19" s="175">
        <v>0.57</v>
      </c>
      <c r="NHG19" s="175">
        <v>0.55</v>
      </c>
      <c r="NHH19" s="175">
        <v>0.53</v>
      </c>
      <c r="NHI19" s="157" t="s">
        <v>67</v>
      </c>
      <c r="NHJ19" s="157"/>
      <c r="NHK19" s="157"/>
      <c r="NHL19" s="173">
        <v>0.62</v>
      </c>
      <c r="NHM19" s="173">
        <v>0.61</v>
      </c>
      <c r="NHN19" s="173">
        <v>0.61</v>
      </c>
      <c r="NHO19" s="173">
        <v>0.61</v>
      </c>
      <c r="NHP19" s="173">
        <v>0.6</v>
      </c>
      <c r="NHQ19" s="174">
        <v>0.6</v>
      </c>
      <c r="NHR19" s="173">
        <v>0.6</v>
      </c>
      <c r="NHS19" s="174">
        <v>0.59</v>
      </c>
      <c r="NHT19" s="175">
        <v>0.59</v>
      </c>
      <c r="NHU19" s="175">
        <v>0.58</v>
      </c>
      <c r="NHV19" s="175">
        <v>0.57</v>
      </c>
      <c r="NHW19" s="175">
        <v>0.55</v>
      </c>
      <c r="NHX19" s="175">
        <v>0.53</v>
      </c>
      <c r="NHY19" s="157" t="s">
        <v>67</v>
      </c>
      <c r="NHZ19" s="157"/>
      <c r="NIA19" s="157"/>
      <c r="NIB19" s="173">
        <v>0.62</v>
      </c>
      <c r="NIC19" s="173">
        <v>0.61</v>
      </c>
      <c r="NID19" s="173">
        <v>0.61</v>
      </c>
      <c r="NIE19" s="173">
        <v>0.61</v>
      </c>
      <c r="NIF19" s="173">
        <v>0.6</v>
      </c>
      <c r="NIG19" s="174">
        <v>0.6</v>
      </c>
      <c r="NIH19" s="173">
        <v>0.6</v>
      </c>
      <c r="NII19" s="174">
        <v>0.59</v>
      </c>
      <c r="NIJ19" s="175">
        <v>0.59</v>
      </c>
      <c r="NIK19" s="175">
        <v>0.58</v>
      </c>
      <c r="NIL19" s="175">
        <v>0.57</v>
      </c>
      <c r="NIM19" s="175">
        <v>0.55</v>
      </c>
      <c r="NIN19" s="175">
        <v>0.53</v>
      </c>
      <c r="NIO19" s="157" t="s">
        <v>67</v>
      </c>
      <c r="NIP19" s="157"/>
      <c r="NIQ19" s="157"/>
      <c r="NIR19" s="173">
        <v>0.62</v>
      </c>
      <c r="NIS19" s="173">
        <v>0.61</v>
      </c>
      <c r="NIT19" s="173">
        <v>0.61</v>
      </c>
      <c r="NIU19" s="173">
        <v>0.61</v>
      </c>
      <c r="NIV19" s="173">
        <v>0.6</v>
      </c>
      <c r="NIW19" s="174">
        <v>0.6</v>
      </c>
      <c r="NIX19" s="173">
        <v>0.6</v>
      </c>
      <c r="NIY19" s="174">
        <v>0.59</v>
      </c>
      <c r="NIZ19" s="175">
        <v>0.59</v>
      </c>
      <c r="NJA19" s="175">
        <v>0.58</v>
      </c>
      <c r="NJB19" s="175">
        <v>0.57</v>
      </c>
      <c r="NJC19" s="175">
        <v>0.55</v>
      </c>
      <c r="NJD19" s="175">
        <v>0.53</v>
      </c>
      <c r="NJE19" s="157" t="s">
        <v>67</v>
      </c>
      <c r="NJF19" s="157"/>
      <c r="NJG19" s="157"/>
      <c r="NJH19" s="173">
        <v>0.62</v>
      </c>
      <c r="NJI19" s="173">
        <v>0.61</v>
      </c>
      <c r="NJJ19" s="173">
        <v>0.61</v>
      </c>
      <c r="NJK19" s="173">
        <v>0.61</v>
      </c>
      <c r="NJL19" s="173">
        <v>0.6</v>
      </c>
      <c r="NJM19" s="174">
        <v>0.6</v>
      </c>
      <c r="NJN19" s="173">
        <v>0.6</v>
      </c>
      <c r="NJO19" s="174">
        <v>0.59</v>
      </c>
      <c r="NJP19" s="175">
        <v>0.59</v>
      </c>
      <c r="NJQ19" s="175">
        <v>0.58</v>
      </c>
      <c r="NJR19" s="175">
        <v>0.57</v>
      </c>
      <c r="NJS19" s="175">
        <v>0.55</v>
      </c>
      <c r="NJT19" s="175">
        <v>0.53</v>
      </c>
      <c r="NJU19" s="157" t="s">
        <v>67</v>
      </c>
      <c r="NJV19" s="157"/>
      <c r="NJW19" s="157"/>
      <c r="NJX19" s="173">
        <v>0.62</v>
      </c>
      <c r="NJY19" s="173">
        <v>0.61</v>
      </c>
      <c r="NJZ19" s="173">
        <v>0.61</v>
      </c>
      <c r="NKA19" s="173">
        <v>0.61</v>
      </c>
      <c r="NKB19" s="173">
        <v>0.6</v>
      </c>
      <c r="NKC19" s="174">
        <v>0.6</v>
      </c>
      <c r="NKD19" s="173">
        <v>0.6</v>
      </c>
      <c r="NKE19" s="174">
        <v>0.59</v>
      </c>
      <c r="NKF19" s="175">
        <v>0.59</v>
      </c>
      <c r="NKG19" s="175">
        <v>0.58</v>
      </c>
      <c r="NKH19" s="175">
        <v>0.57</v>
      </c>
      <c r="NKI19" s="175">
        <v>0.55</v>
      </c>
      <c r="NKJ19" s="175">
        <v>0.53</v>
      </c>
      <c r="NKK19" s="157" t="s">
        <v>67</v>
      </c>
      <c r="NKL19" s="157"/>
      <c r="NKM19" s="157"/>
      <c r="NKN19" s="173">
        <v>0.62</v>
      </c>
      <c r="NKO19" s="173">
        <v>0.61</v>
      </c>
      <c r="NKP19" s="173">
        <v>0.61</v>
      </c>
      <c r="NKQ19" s="173">
        <v>0.61</v>
      </c>
      <c r="NKR19" s="173">
        <v>0.6</v>
      </c>
      <c r="NKS19" s="174">
        <v>0.6</v>
      </c>
      <c r="NKT19" s="173">
        <v>0.6</v>
      </c>
      <c r="NKU19" s="174">
        <v>0.59</v>
      </c>
      <c r="NKV19" s="175">
        <v>0.59</v>
      </c>
      <c r="NKW19" s="175">
        <v>0.58</v>
      </c>
      <c r="NKX19" s="175">
        <v>0.57</v>
      </c>
      <c r="NKY19" s="175">
        <v>0.55</v>
      </c>
      <c r="NKZ19" s="175">
        <v>0.53</v>
      </c>
      <c r="NLA19" s="157" t="s">
        <v>67</v>
      </c>
      <c r="NLB19" s="157"/>
      <c r="NLC19" s="157"/>
      <c r="NLD19" s="173">
        <v>0.62</v>
      </c>
      <c r="NLE19" s="173">
        <v>0.61</v>
      </c>
      <c r="NLF19" s="173">
        <v>0.61</v>
      </c>
      <c r="NLG19" s="173">
        <v>0.61</v>
      </c>
      <c r="NLH19" s="173">
        <v>0.6</v>
      </c>
      <c r="NLI19" s="174">
        <v>0.6</v>
      </c>
      <c r="NLJ19" s="173">
        <v>0.6</v>
      </c>
      <c r="NLK19" s="174">
        <v>0.59</v>
      </c>
      <c r="NLL19" s="175">
        <v>0.59</v>
      </c>
      <c r="NLM19" s="175">
        <v>0.58</v>
      </c>
      <c r="NLN19" s="175">
        <v>0.57</v>
      </c>
      <c r="NLO19" s="175">
        <v>0.55</v>
      </c>
      <c r="NLP19" s="175">
        <v>0.53</v>
      </c>
      <c r="NLQ19" s="157" t="s">
        <v>67</v>
      </c>
      <c r="NLR19" s="157"/>
      <c r="NLS19" s="157"/>
      <c r="NLT19" s="173">
        <v>0.62</v>
      </c>
      <c r="NLU19" s="173">
        <v>0.61</v>
      </c>
      <c r="NLV19" s="173">
        <v>0.61</v>
      </c>
      <c r="NLW19" s="173">
        <v>0.61</v>
      </c>
      <c r="NLX19" s="173">
        <v>0.6</v>
      </c>
      <c r="NLY19" s="174">
        <v>0.6</v>
      </c>
      <c r="NLZ19" s="173">
        <v>0.6</v>
      </c>
      <c r="NMA19" s="174">
        <v>0.59</v>
      </c>
      <c r="NMB19" s="175">
        <v>0.59</v>
      </c>
      <c r="NMC19" s="175">
        <v>0.58</v>
      </c>
      <c r="NMD19" s="175">
        <v>0.57</v>
      </c>
      <c r="NME19" s="175">
        <v>0.55</v>
      </c>
      <c r="NMF19" s="175">
        <v>0.53</v>
      </c>
      <c r="NMG19" s="157" t="s">
        <v>67</v>
      </c>
      <c r="NMH19" s="157"/>
      <c r="NMI19" s="157"/>
      <c r="NMJ19" s="173">
        <v>0.62</v>
      </c>
      <c r="NMK19" s="173">
        <v>0.61</v>
      </c>
      <c r="NML19" s="173">
        <v>0.61</v>
      </c>
      <c r="NMM19" s="173">
        <v>0.61</v>
      </c>
      <c r="NMN19" s="173">
        <v>0.6</v>
      </c>
      <c r="NMO19" s="174">
        <v>0.6</v>
      </c>
      <c r="NMP19" s="173">
        <v>0.6</v>
      </c>
      <c r="NMQ19" s="174">
        <v>0.59</v>
      </c>
      <c r="NMR19" s="175">
        <v>0.59</v>
      </c>
      <c r="NMS19" s="175">
        <v>0.58</v>
      </c>
      <c r="NMT19" s="175">
        <v>0.57</v>
      </c>
      <c r="NMU19" s="175">
        <v>0.55</v>
      </c>
      <c r="NMV19" s="175">
        <v>0.53</v>
      </c>
      <c r="NMW19" s="157" t="s">
        <v>67</v>
      </c>
      <c r="NMX19" s="157"/>
      <c r="NMY19" s="157"/>
      <c r="NMZ19" s="173">
        <v>0.62</v>
      </c>
      <c r="NNA19" s="173">
        <v>0.61</v>
      </c>
      <c r="NNB19" s="173">
        <v>0.61</v>
      </c>
      <c r="NNC19" s="173">
        <v>0.61</v>
      </c>
      <c r="NND19" s="173">
        <v>0.6</v>
      </c>
      <c r="NNE19" s="174">
        <v>0.6</v>
      </c>
      <c r="NNF19" s="173">
        <v>0.6</v>
      </c>
      <c r="NNG19" s="174">
        <v>0.59</v>
      </c>
      <c r="NNH19" s="175">
        <v>0.59</v>
      </c>
      <c r="NNI19" s="175">
        <v>0.58</v>
      </c>
      <c r="NNJ19" s="175">
        <v>0.57</v>
      </c>
      <c r="NNK19" s="175">
        <v>0.55</v>
      </c>
      <c r="NNL19" s="175">
        <v>0.53</v>
      </c>
      <c r="NNM19" s="157" t="s">
        <v>67</v>
      </c>
      <c r="NNN19" s="157"/>
      <c r="NNO19" s="157"/>
      <c r="NNP19" s="173">
        <v>0.62</v>
      </c>
      <c r="NNQ19" s="173">
        <v>0.61</v>
      </c>
      <c r="NNR19" s="173">
        <v>0.61</v>
      </c>
      <c r="NNS19" s="173">
        <v>0.61</v>
      </c>
      <c r="NNT19" s="173">
        <v>0.6</v>
      </c>
      <c r="NNU19" s="174">
        <v>0.6</v>
      </c>
      <c r="NNV19" s="173">
        <v>0.6</v>
      </c>
      <c r="NNW19" s="174">
        <v>0.59</v>
      </c>
      <c r="NNX19" s="175">
        <v>0.59</v>
      </c>
      <c r="NNY19" s="175">
        <v>0.58</v>
      </c>
      <c r="NNZ19" s="175">
        <v>0.57</v>
      </c>
      <c r="NOA19" s="175">
        <v>0.55</v>
      </c>
      <c r="NOB19" s="175">
        <v>0.53</v>
      </c>
      <c r="NOC19" s="157" t="s">
        <v>67</v>
      </c>
      <c r="NOD19" s="157"/>
      <c r="NOE19" s="157"/>
      <c r="NOF19" s="173">
        <v>0.62</v>
      </c>
      <c r="NOG19" s="173">
        <v>0.61</v>
      </c>
      <c r="NOH19" s="173">
        <v>0.61</v>
      </c>
      <c r="NOI19" s="173">
        <v>0.61</v>
      </c>
      <c r="NOJ19" s="173">
        <v>0.6</v>
      </c>
      <c r="NOK19" s="174">
        <v>0.6</v>
      </c>
      <c r="NOL19" s="173">
        <v>0.6</v>
      </c>
      <c r="NOM19" s="174">
        <v>0.59</v>
      </c>
      <c r="NON19" s="175">
        <v>0.59</v>
      </c>
      <c r="NOO19" s="175">
        <v>0.58</v>
      </c>
      <c r="NOP19" s="175">
        <v>0.57</v>
      </c>
      <c r="NOQ19" s="175">
        <v>0.55</v>
      </c>
      <c r="NOR19" s="175">
        <v>0.53</v>
      </c>
      <c r="NOS19" s="157" t="s">
        <v>67</v>
      </c>
      <c r="NOT19" s="157"/>
      <c r="NOU19" s="157"/>
      <c r="NOV19" s="173">
        <v>0.62</v>
      </c>
      <c r="NOW19" s="173">
        <v>0.61</v>
      </c>
      <c r="NOX19" s="173">
        <v>0.61</v>
      </c>
      <c r="NOY19" s="173">
        <v>0.61</v>
      </c>
      <c r="NOZ19" s="173">
        <v>0.6</v>
      </c>
      <c r="NPA19" s="174">
        <v>0.6</v>
      </c>
      <c r="NPB19" s="173">
        <v>0.6</v>
      </c>
      <c r="NPC19" s="174">
        <v>0.59</v>
      </c>
      <c r="NPD19" s="175">
        <v>0.59</v>
      </c>
      <c r="NPE19" s="175">
        <v>0.58</v>
      </c>
      <c r="NPF19" s="175">
        <v>0.57</v>
      </c>
      <c r="NPG19" s="175">
        <v>0.55</v>
      </c>
      <c r="NPH19" s="175">
        <v>0.53</v>
      </c>
      <c r="NPI19" s="157" t="s">
        <v>67</v>
      </c>
      <c r="NPJ19" s="157"/>
      <c r="NPK19" s="157"/>
      <c r="NPL19" s="173">
        <v>0.62</v>
      </c>
      <c r="NPM19" s="173">
        <v>0.61</v>
      </c>
      <c r="NPN19" s="173">
        <v>0.61</v>
      </c>
      <c r="NPO19" s="173">
        <v>0.61</v>
      </c>
      <c r="NPP19" s="173">
        <v>0.6</v>
      </c>
      <c r="NPQ19" s="174">
        <v>0.6</v>
      </c>
      <c r="NPR19" s="173">
        <v>0.6</v>
      </c>
      <c r="NPS19" s="174">
        <v>0.59</v>
      </c>
      <c r="NPT19" s="175">
        <v>0.59</v>
      </c>
      <c r="NPU19" s="175">
        <v>0.58</v>
      </c>
      <c r="NPV19" s="175">
        <v>0.57</v>
      </c>
      <c r="NPW19" s="175">
        <v>0.55</v>
      </c>
      <c r="NPX19" s="175">
        <v>0.53</v>
      </c>
      <c r="NPY19" s="157" t="s">
        <v>67</v>
      </c>
      <c r="NPZ19" s="157"/>
      <c r="NQA19" s="157"/>
      <c r="NQB19" s="173">
        <v>0.62</v>
      </c>
      <c r="NQC19" s="173">
        <v>0.61</v>
      </c>
      <c r="NQD19" s="173">
        <v>0.61</v>
      </c>
      <c r="NQE19" s="173">
        <v>0.61</v>
      </c>
      <c r="NQF19" s="173">
        <v>0.6</v>
      </c>
      <c r="NQG19" s="174">
        <v>0.6</v>
      </c>
      <c r="NQH19" s="173">
        <v>0.6</v>
      </c>
      <c r="NQI19" s="174">
        <v>0.59</v>
      </c>
      <c r="NQJ19" s="175">
        <v>0.59</v>
      </c>
      <c r="NQK19" s="175">
        <v>0.58</v>
      </c>
      <c r="NQL19" s="175">
        <v>0.57</v>
      </c>
      <c r="NQM19" s="175">
        <v>0.55</v>
      </c>
      <c r="NQN19" s="175">
        <v>0.53</v>
      </c>
      <c r="NQO19" s="157" t="s">
        <v>67</v>
      </c>
      <c r="NQP19" s="157"/>
      <c r="NQQ19" s="157"/>
      <c r="NQR19" s="173">
        <v>0.62</v>
      </c>
      <c r="NQS19" s="173">
        <v>0.61</v>
      </c>
      <c r="NQT19" s="173">
        <v>0.61</v>
      </c>
      <c r="NQU19" s="173">
        <v>0.61</v>
      </c>
      <c r="NQV19" s="173">
        <v>0.6</v>
      </c>
      <c r="NQW19" s="174">
        <v>0.6</v>
      </c>
      <c r="NQX19" s="173">
        <v>0.6</v>
      </c>
      <c r="NQY19" s="174">
        <v>0.59</v>
      </c>
      <c r="NQZ19" s="175">
        <v>0.59</v>
      </c>
      <c r="NRA19" s="175">
        <v>0.58</v>
      </c>
      <c r="NRB19" s="175">
        <v>0.57</v>
      </c>
      <c r="NRC19" s="175">
        <v>0.55</v>
      </c>
      <c r="NRD19" s="175">
        <v>0.53</v>
      </c>
      <c r="NRE19" s="157" t="s">
        <v>67</v>
      </c>
      <c r="NRF19" s="157"/>
      <c r="NRG19" s="157"/>
      <c r="NRH19" s="173">
        <v>0.62</v>
      </c>
      <c r="NRI19" s="173">
        <v>0.61</v>
      </c>
      <c r="NRJ19" s="173">
        <v>0.61</v>
      </c>
      <c r="NRK19" s="173">
        <v>0.61</v>
      </c>
      <c r="NRL19" s="173">
        <v>0.6</v>
      </c>
      <c r="NRM19" s="174">
        <v>0.6</v>
      </c>
      <c r="NRN19" s="173">
        <v>0.6</v>
      </c>
      <c r="NRO19" s="174">
        <v>0.59</v>
      </c>
      <c r="NRP19" s="175">
        <v>0.59</v>
      </c>
      <c r="NRQ19" s="175">
        <v>0.58</v>
      </c>
      <c r="NRR19" s="175">
        <v>0.57</v>
      </c>
      <c r="NRS19" s="175">
        <v>0.55</v>
      </c>
      <c r="NRT19" s="175">
        <v>0.53</v>
      </c>
      <c r="NRU19" s="157" t="s">
        <v>67</v>
      </c>
      <c r="NRV19" s="157"/>
      <c r="NRW19" s="157"/>
      <c r="NRX19" s="173">
        <v>0.62</v>
      </c>
      <c r="NRY19" s="173">
        <v>0.61</v>
      </c>
      <c r="NRZ19" s="173">
        <v>0.61</v>
      </c>
      <c r="NSA19" s="173">
        <v>0.61</v>
      </c>
      <c r="NSB19" s="173">
        <v>0.6</v>
      </c>
      <c r="NSC19" s="174">
        <v>0.6</v>
      </c>
      <c r="NSD19" s="173">
        <v>0.6</v>
      </c>
      <c r="NSE19" s="174">
        <v>0.59</v>
      </c>
      <c r="NSF19" s="175">
        <v>0.59</v>
      </c>
      <c r="NSG19" s="175">
        <v>0.58</v>
      </c>
      <c r="NSH19" s="175">
        <v>0.57</v>
      </c>
      <c r="NSI19" s="175">
        <v>0.55</v>
      </c>
      <c r="NSJ19" s="175">
        <v>0.53</v>
      </c>
      <c r="NSK19" s="157" t="s">
        <v>67</v>
      </c>
      <c r="NSL19" s="157"/>
      <c r="NSM19" s="157"/>
      <c r="NSN19" s="173">
        <v>0.62</v>
      </c>
      <c r="NSO19" s="173">
        <v>0.61</v>
      </c>
      <c r="NSP19" s="173">
        <v>0.61</v>
      </c>
      <c r="NSQ19" s="173">
        <v>0.61</v>
      </c>
      <c r="NSR19" s="173">
        <v>0.6</v>
      </c>
      <c r="NSS19" s="174">
        <v>0.6</v>
      </c>
      <c r="NST19" s="173">
        <v>0.6</v>
      </c>
      <c r="NSU19" s="174">
        <v>0.59</v>
      </c>
      <c r="NSV19" s="175">
        <v>0.59</v>
      </c>
      <c r="NSW19" s="175">
        <v>0.58</v>
      </c>
      <c r="NSX19" s="175">
        <v>0.57</v>
      </c>
      <c r="NSY19" s="175">
        <v>0.55</v>
      </c>
      <c r="NSZ19" s="175">
        <v>0.53</v>
      </c>
      <c r="NTA19" s="157" t="s">
        <v>67</v>
      </c>
      <c r="NTB19" s="157"/>
      <c r="NTC19" s="157"/>
      <c r="NTD19" s="173">
        <v>0.62</v>
      </c>
      <c r="NTE19" s="173">
        <v>0.61</v>
      </c>
      <c r="NTF19" s="173">
        <v>0.61</v>
      </c>
      <c r="NTG19" s="173">
        <v>0.61</v>
      </c>
      <c r="NTH19" s="173">
        <v>0.6</v>
      </c>
      <c r="NTI19" s="174">
        <v>0.6</v>
      </c>
      <c r="NTJ19" s="173">
        <v>0.6</v>
      </c>
      <c r="NTK19" s="174">
        <v>0.59</v>
      </c>
      <c r="NTL19" s="175">
        <v>0.59</v>
      </c>
      <c r="NTM19" s="175">
        <v>0.58</v>
      </c>
      <c r="NTN19" s="175">
        <v>0.57</v>
      </c>
      <c r="NTO19" s="175">
        <v>0.55</v>
      </c>
      <c r="NTP19" s="175">
        <v>0.53</v>
      </c>
      <c r="NTQ19" s="157" t="s">
        <v>67</v>
      </c>
      <c r="NTR19" s="157"/>
      <c r="NTS19" s="157"/>
      <c r="NTT19" s="173">
        <v>0.62</v>
      </c>
      <c r="NTU19" s="173">
        <v>0.61</v>
      </c>
      <c r="NTV19" s="173">
        <v>0.61</v>
      </c>
      <c r="NTW19" s="173">
        <v>0.61</v>
      </c>
      <c r="NTX19" s="173">
        <v>0.6</v>
      </c>
      <c r="NTY19" s="174">
        <v>0.6</v>
      </c>
      <c r="NTZ19" s="173">
        <v>0.6</v>
      </c>
      <c r="NUA19" s="174">
        <v>0.59</v>
      </c>
      <c r="NUB19" s="175">
        <v>0.59</v>
      </c>
      <c r="NUC19" s="175">
        <v>0.58</v>
      </c>
      <c r="NUD19" s="175">
        <v>0.57</v>
      </c>
      <c r="NUE19" s="175">
        <v>0.55</v>
      </c>
      <c r="NUF19" s="175">
        <v>0.53</v>
      </c>
      <c r="NUG19" s="157" t="s">
        <v>67</v>
      </c>
      <c r="NUH19" s="157"/>
      <c r="NUI19" s="157"/>
      <c r="NUJ19" s="173">
        <v>0.62</v>
      </c>
      <c r="NUK19" s="173">
        <v>0.61</v>
      </c>
      <c r="NUL19" s="173">
        <v>0.61</v>
      </c>
      <c r="NUM19" s="173">
        <v>0.61</v>
      </c>
      <c r="NUN19" s="173">
        <v>0.6</v>
      </c>
      <c r="NUO19" s="174">
        <v>0.6</v>
      </c>
      <c r="NUP19" s="173">
        <v>0.6</v>
      </c>
      <c r="NUQ19" s="174">
        <v>0.59</v>
      </c>
      <c r="NUR19" s="175">
        <v>0.59</v>
      </c>
      <c r="NUS19" s="175">
        <v>0.58</v>
      </c>
      <c r="NUT19" s="175">
        <v>0.57</v>
      </c>
      <c r="NUU19" s="175">
        <v>0.55</v>
      </c>
      <c r="NUV19" s="175">
        <v>0.53</v>
      </c>
      <c r="NUW19" s="157" t="s">
        <v>67</v>
      </c>
      <c r="NUX19" s="157"/>
      <c r="NUY19" s="157"/>
      <c r="NUZ19" s="173">
        <v>0.62</v>
      </c>
      <c r="NVA19" s="173">
        <v>0.61</v>
      </c>
      <c r="NVB19" s="173">
        <v>0.61</v>
      </c>
      <c r="NVC19" s="173">
        <v>0.61</v>
      </c>
      <c r="NVD19" s="173">
        <v>0.6</v>
      </c>
      <c r="NVE19" s="174">
        <v>0.6</v>
      </c>
      <c r="NVF19" s="173">
        <v>0.6</v>
      </c>
      <c r="NVG19" s="174">
        <v>0.59</v>
      </c>
      <c r="NVH19" s="175">
        <v>0.59</v>
      </c>
      <c r="NVI19" s="175">
        <v>0.58</v>
      </c>
      <c r="NVJ19" s="175">
        <v>0.57</v>
      </c>
      <c r="NVK19" s="175">
        <v>0.55</v>
      </c>
      <c r="NVL19" s="175">
        <v>0.53</v>
      </c>
      <c r="NVM19" s="157" t="s">
        <v>67</v>
      </c>
      <c r="NVN19" s="157"/>
      <c r="NVO19" s="157"/>
      <c r="NVP19" s="173">
        <v>0.62</v>
      </c>
      <c r="NVQ19" s="173">
        <v>0.61</v>
      </c>
      <c r="NVR19" s="173">
        <v>0.61</v>
      </c>
      <c r="NVS19" s="173">
        <v>0.61</v>
      </c>
      <c r="NVT19" s="173">
        <v>0.6</v>
      </c>
      <c r="NVU19" s="174">
        <v>0.6</v>
      </c>
      <c r="NVV19" s="173">
        <v>0.6</v>
      </c>
      <c r="NVW19" s="174">
        <v>0.59</v>
      </c>
      <c r="NVX19" s="175">
        <v>0.59</v>
      </c>
      <c r="NVY19" s="175">
        <v>0.58</v>
      </c>
      <c r="NVZ19" s="175">
        <v>0.57</v>
      </c>
      <c r="NWA19" s="175">
        <v>0.55</v>
      </c>
      <c r="NWB19" s="175">
        <v>0.53</v>
      </c>
      <c r="NWC19" s="157" t="s">
        <v>67</v>
      </c>
      <c r="NWD19" s="157"/>
      <c r="NWE19" s="157"/>
      <c r="NWF19" s="173">
        <v>0.62</v>
      </c>
      <c r="NWG19" s="173">
        <v>0.61</v>
      </c>
      <c r="NWH19" s="173">
        <v>0.61</v>
      </c>
      <c r="NWI19" s="173">
        <v>0.61</v>
      </c>
      <c r="NWJ19" s="173">
        <v>0.6</v>
      </c>
      <c r="NWK19" s="174">
        <v>0.6</v>
      </c>
      <c r="NWL19" s="173">
        <v>0.6</v>
      </c>
      <c r="NWM19" s="174">
        <v>0.59</v>
      </c>
      <c r="NWN19" s="175">
        <v>0.59</v>
      </c>
      <c r="NWO19" s="175">
        <v>0.58</v>
      </c>
      <c r="NWP19" s="175">
        <v>0.57</v>
      </c>
      <c r="NWQ19" s="175">
        <v>0.55</v>
      </c>
      <c r="NWR19" s="175">
        <v>0.53</v>
      </c>
      <c r="NWS19" s="157" t="s">
        <v>67</v>
      </c>
      <c r="NWT19" s="157"/>
      <c r="NWU19" s="157"/>
      <c r="NWV19" s="173">
        <v>0.62</v>
      </c>
      <c r="NWW19" s="173">
        <v>0.61</v>
      </c>
      <c r="NWX19" s="173">
        <v>0.61</v>
      </c>
      <c r="NWY19" s="173">
        <v>0.61</v>
      </c>
      <c r="NWZ19" s="173">
        <v>0.6</v>
      </c>
      <c r="NXA19" s="174">
        <v>0.6</v>
      </c>
      <c r="NXB19" s="173">
        <v>0.6</v>
      </c>
      <c r="NXC19" s="174">
        <v>0.59</v>
      </c>
      <c r="NXD19" s="175">
        <v>0.59</v>
      </c>
      <c r="NXE19" s="175">
        <v>0.58</v>
      </c>
      <c r="NXF19" s="175">
        <v>0.57</v>
      </c>
      <c r="NXG19" s="175">
        <v>0.55</v>
      </c>
      <c r="NXH19" s="175">
        <v>0.53</v>
      </c>
      <c r="NXI19" s="157" t="s">
        <v>67</v>
      </c>
      <c r="NXJ19" s="157"/>
      <c r="NXK19" s="157"/>
      <c r="NXL19" s="173">
        <v>0.62</v>
      </c>
      <c r="NXM19" s="173">
        <v>0.61</v>
      </c>
      <c r="NXN19" s="173">
        <v>0.61</v>
      </c>
      <c r="NXO19" s="173">
        <v>0.61</v>
      </c>
      <c r="NXP19" s="173">
        <v>0.6</v>
      </c>
      <c r="NXQ19" s="174">
        <v>0.6</v>
      </c>
      <c r="NXR19" s="173">
        <v>0.6</v>
      </c>
      <c r="NXS19" s="174">
        <v>0.59</v>
      </c>
      <c r="NXT19" s="175">
        <v>0.59</v>
      </c>
      <c r="NXU19" s="175">
        <v>0.58</v>
      </c>
      <c r="NXV19" s="175">
        <v>0.57</v>
      </c>
      <c r="NXW19" s="175">
        <v>0.55</v>
      </c>
      <c r="NXX19" s="175">
        <v>0.53</v>
      </c>
      <c r="NXY19" s="157" t="s">
        <v>67</v>
      </c>
      <c r="NXZ19" s="157"/>
      <c r="NYA19" s="157"/>
      <c r="NYB19" s="173">
        <v>0.62</v>
      </c>
      <c r="NYC19" s="173">
        <v>0.61</v>
      </c>
      <c r="NYD19" s="173">
        <v>0.61</v>
      </c>
      <c r="NYE19" s="173">
        <v>0.61</v>
      </c>
      <c r="NYF19" s="173">
        <v>0.6</v>
      </c>
      <c r="NYG19" s="174">
        <v>0.6</v>
      </c>
      <c r="NYH19" s="173">
        <v>0.6</v>
      </c>
      <c r="NYI19" s="174">
        <v>0.59</v>
      </c>
      <c r="NYJ19" s="175">
        <v>0.59</v>
      </c>
      <c r="NYK19" s="175">
        <v>0.58</v>
      </c>
      <c r="NYL19" s="175">
        <v>0.57</v>
      </c>
      <c r="NYM19" s="175">
        <v>0.55</v>
      </c>
      <c r="NYN19" s="175">
        <v>0.53</v>
      </c>
      <c r="NYO19" s="157" t="s">
        <v>67</v>
      </c>
      <c r="NYP19" s="157"/>
      <c r="NYQ19" s="157"/>
      <c r="NYR19" s="173">
        <v>0.62</v>
      </c>
      <c r="NYS19" s="173">
        <v>0.61</v>
      </c>
      <c r="NYT19" s="173">
        <v>0.61</v>
      </c>
      <c r="NYU19" s="173">
        <v>0.61</v>
      </c>
      <c r="NYV19" s="173">
        <v>0.6</v>
      </c>
      <c r="NYW19" s="174">
        <v>0.6</v>
      </c>
      <c r="NYX19" s="173">
        <v>0.6</v>
      </c>
      <c r="NYY19" s="174">
        <v>0.59</v>
      </c>
      <c r="NYZ19" s="175">
        <v>0.59</v>
      </c>
      <c r="NZA19" s="175">
        <v>0.58</v>
      </c>
      <c r="NZB19" s="175">
        <v>0.57</v>
      </c>
      <c r="NZC19" s="175">
        <v>0.55</v>
      </c>
      <c r="NZD19" s="175">
        <v>0.53</v>
      </c>
      <c r="NZE19" s="157" t="s">
        <v>67</v>
      </c>
      <c r="NZF19" s="157"/>
      <c r="NZG19" s="157"/>
      <c r="NZH19" s="173">
        <v>0.62</v>
      </c>
      <c r="NZI19" s="173">
        <v>0.61</v>
      </c>
      <c r="NZJ19" s="173">
        <v>0.61</v>
      </c>
      <c r="NZK19" s="173">
        <v>0.61</v>
      </c>
      <c r="NZL19" s="173">
        <v>0.6</v>
      </c>
      <c r="NZM19" s="174">
        <v>0.6</v>
      </c>
      <c r="NZN19" s="173">
        <v>0.6</v>
      </c>
      <c r="NZO19" s="174">
        <v>0.59</v>
      </c>
      <c r="NZP19" s="175">
        <v>0.59</v>
      </c>
      <c r="NZQ19" s="175">
        <v>0.58</v>
      </c>
      <c r="NZR19" s="175">
        <v>0.57</v>
      </c>
      <c r="NZS19" s="175">
        <v>0.55</v>
      </c>
      <c r="NZT19" s="175">
        <v>0.53</v>
      </c>
      <c r="NZU19" s="157" t="s">
        <v>67</v>
      </c>
      <c r="NZV19" s="157"/>
      <c r="NZW19" s="157"/>
      <c r="NZX19" s="173">
        <v>0.62</v>
      </c>
      <c r="NZY19" s="173">
        <v>0.61</v>
      </c>
      <c r="NZZ19" s="173">
        <v>0.61</v>
      </c>
      <c r="OAA19" s="173">
        <v>0.61</v>
      </c>
      <c r="OAB19" s="173">
        <v>0.6</v>
      </c>
      <c r="OAC19" s="174">
        <v>0.6</v>
      </c>
      <c r="OAD19" s="173">
        <v>0.6</v>
      </c>
      <c r="OAE19" s="174">
        <v>0.59</v>
      </c>
      <c r="OAF19" s="175">
        <v>0.59</v>
      </c>
      <c r="OAG19" s="175">
        <v>0.58</v>
      </c>
      <c r="OAH19" s="175">
        <v>0.57</v>
      </c>
      <c r="OAI19" s="175">
        <v>0.55</v>
      </c>
      <c r="OAJ19" s="175">
        <v>0.53</v>
      </c>
      <c r="OAK19" s="157" t="s">
        <v>67</v>
      </c>
      <c r="OAL19" s="157"/>
      <c r="OAM19" s="157"/>
      <c r="OAN19" s="173">
        <v>0.62</v>
      </c>
      <c r="OAO19" s="173">
        <v>0.61</v>
      </c>
      <c r="OAP19" s="173">
        <v>0.61</v>
      </c>
      <c r="OAQ19" s="173">
        <v>0.61</v>
      </c>
      <c r="OAR19" s="173">
        <v>0.6</v>
      </c>
      <c r="OAS19" s="174">
        <v>0.6</v>
      </c>
      <c r="OAT19" s="173">
        <v>0.6</v>
      </c>
      <c r="OAU19" s="174">
        <v>0.59</v>
      </c>
      <c r="OAV19" s="175">
        <v>0.59</v>
      </c>
      <c r="OAW19" s="175">
        <v>0.58</v>
      </c>
      <c r="OAX19" s="175">
        <v>0.57</v>
      </c>
      <c r="OAY19" s="175">
        <v>0.55</v>
      </c>
      <c r="OAZ19" s="175">
        <v>0.53</v>
      </c>
      <c r="OBA19" s="157" t="s">
        <v>67</v>
      </c>
      <c r="OBB19" s="157"/>
      <c r="OBC19" s="157"/>
      <c r="OBD19" s="173">
        <v>0.62</v>
      </c>
      <c r="OBE19" s="173">
        <v>0.61</v>
      </c>
      <c r="OBF19" s="173">
        <v>0.61</v>
      </c>
      <c r="OBG19" s="173">
        <v>0.61</v>
      </c>
      <c r="OBH19" s="173">
        <v>0.6</v>
      </c>
      <c r="OBI19" s="174">
        <v>0.6</v>
      </c>
      <c r="OBJ19" s="173">
        <v>0.6</v>
      </c>
      <c r="OBK19" s="174">
        <v>0.59</v>
      </c>
      <c r="OBL19" s="175">
        <v>0.59</v>
      </c>
      <c r="OBM19" s="175">
        <v>0.58</v>
      </c>
      <c r="OBN19" s="175">
        <v>0.57</v>
      </c>
      <c r="OBO19" s="175">
        <v>0.55</v>
      </c>
      <c r="OBP19" s="175">
        <v>0.53</v>
      </c>
      <c r="OBQ19" s="157" t="s">
        <v>67</v>
      </c>
      <c r="OBR19" s="157"/>
      <c r="OBS19" s="157"/>
      <c r="OBT19" s="173">
        <v>0.62</v>
      </c>
      <c r="OBU19" s="173">
        <v>0.61</v>
      </c>
      <c r="OBV19" s="173">
        <v>0.61</v>
      </c>
      <c r="OBW19" s="173">
        <v>0.61</v>
      </c>
      <c r="OBX19" s="173">
        <v>0.6</v>
      </c>
      <c r="OBY19" s="174">
        <v>0.6</v>
      </c>
      <c r="OBZ19" s="173">
        <v>0.6</v>
      </c>
      <c r="OCA19" s="174">
        <v>0.59</v>
      </c>
      <c r="OCB19" s="175">
        <v>0.59</v>
      </c>
      <c r="OCC19" s="175">
        <v>0.58</v>
      </c>
      <c r="OCD19" s="175">
        <v>0.57</v>
      </c>
      <c r="OCE19" s="175">
        <v>0.55</v>
      </c>
      <c r="OCF19" s="175">
        <v>0.53</v>
      </c>
      <c r="OCG19" s="157" t="s">
        <v>67</v>
      </c>
      <c r="OCH19" s="157"/>
      <c r="OCI19" s="157"/>
      <c r="OCJ19" s="173">
        <v>0.62</v>
      </c>
      <c r="OCK19" s="173">
        <v>0.61</v>
      </c>
      <c r="OCL19" s="173">
        <v>0.61</v>
      </c>
      <c r="OCM19" s="173">
        <v>0.61</v>
      </c>
      <c r="OCN19" s="173">
        <v>0.6</v>
      </c>
      <c r="OCO19" s="174">
        <v>0.6</v>
      </c>
      <c r="OCP19" s="173">
        <v>0.6</v>
      </c>
      <c r="OCQ19" s="174">
        <v>0.59</v>
      </c>
      <c r="OCR19" s="175">
        <v>0.59</v>
      </c>
      <c r="OCS19" s="175">
        <v>0.58</v>
      </c>
      <c r="OCT19" s="175">
        <v>0.57</v>
      </c>
      <c r="OCU19" s="175">
        <v>0.55</v>
      </c>
      <c r="OCV19" s="175">
        <v>0.53</v>
      </c>
      <c r="OCW19" s="157" t="s">
        <v>67</v>
      </c>
      <c r="OCX19" s="157"/>
      <c r="OCY19" s="157"/>
      <c r="OCZ19" s="173">
        <v>0.62</v>
      </c>
      <c r="ODA19" s="173">
        <v>0.61</v>
      </c>
      <c r="ODB19" s="173">
        <v>0.61</v>
      </c>
      <c r="ODC19" s="173">
        <v>0.61</v>
      </c>
      <c r="ODD19" s="173">
        <v>0.6</v>
      </c>
      <c r="ODE19" s="174">
        <v>0.6</v>
      </c>
      <c r="ODF19" s="173">
        <v>0.6</v>
      </c>
      <c r="ODG19" s="174">
        <v>0.59</v>
      </c>
      <c r="ODH19" s="175">
        <v>0.59</v>
      </c>
      <c r="ODI19" s="175">
        <v>0.58</v>
      </c>
      <c r="ODJ19" s="175">
        <v>0.57</v>
      </c>
      <c r="ODK19" s="175">
        <v>0.55</v>
      </c>
      <c r="ODL19" s="175">
        <v>0.53</v>
      </c>
      <c r="ODM19" s="157" t="s">
        <v>67</v>
      </c>
      <c r="ODN19" s="157"/>
      <c r="ODO19" s="157"/>
      <c r="ODP19" s="173">
        <v>0.62</v>
      </c>
      <c r="ODQ19" s="173">
        <v>0.61</v>
      </c>
      <c r="ODR19" s="173">
        <v>0.61</v>
      </c>
      <c r="ODS19" s="173">
        <v>0.61</v>
      </c>
      <c r="ODT19" s="173">
        <v>0.6</v>
      </c>
      <c r="ODU19" s="174">
        <v>0.6</v>
      </c>
      <c r="ODV19" s="173">
        <v>0.6</v>
      </c>
      <c r="ODW19" s="174">
        <v>0.59</v>
      </c>
      <c r="ODX19" s="175">
        <v>0.59</v>
      </c>
      <c r="ODY19" s="175">
        <v>0.58</v>
      </c>
      <c r="ODZ19" s="175">
        <v>0.57</v>
      </c>
      <c r="OEA19" s="175">
        <v>0.55</v>
      </c>
      <c r="OEB19" s="175">
        <v>0.53</v>
      </c>
      <c r="OEC19" s="157" t="s">
        <v>67</v>
      </c>
      <c r="OED19" s="157"/>
      <c r="OEE19" s="157"/>
      <c r="OEF19" s="173">
        <v>0.62</v>
      </c>
      <c r="OEG19" s="173">
        <v>0.61</v>
      </c>
      <c r="OEH19" s="173">
        <v>0.61</v>
      </c>
      <c r="OEI19" s="173">
        <v>0.61</v>
      </c>
      <c r="OEJ19" s="173">
        <v>0.6</v>
      </c>
      <c r="OEK19" s="174">
        <v>0.6</v>
      </c>
      <c r="OEL19" s="173">
        <v>0.6</v>
      </c>
      <c r="OEM19" s="174">
        <v>0.59</v>
      </c>
      <c r="OEN19" s="175">
        <v>0.59</v>
      </c>
      <c r="OEO19" s="175">
        <v>0.58</v>
      </c>
      <c r="OEP19" s="175">
        <v>0.57</v>
      </c>
      <c r="OEQ19" s="175">
        <v>0.55</v>
      </c>
      <c r="OER19" s="175">
        <v>0.53</v>
      </c>
      <c r="OES19" s="157" t="s">
        <v>67</v>
      </c>
      <c r="OET19" s="157"/>
      <c r="OEU19" s="157"/>
      <c r="OEV19" s="173">
        <v>0.62</v>
      </c>
      <c r="OEW19" s="173">
        <v>0.61</v>
      </c>
      <c r="OEX19" s="173">
        <v>0.61</v>
      </c>
      <c r="OEY19" s="173">
        <v>0.61</v>
      </c>
      <c r="OEZ19" s="173">
        <v>0.6</v>
      </c>
      <c r="OFA19" s="174">
        <v>0.6</v>
      </c>
      <c r="OFB19" s="173">
        <v>0.6</v>
      </c>
      <c r="OFC19" s="174">
        <v>0.59</v>
      </c>
      <c r="OFD19" s="175">
        <v>0.59</v>
      </c>
      <c r="OFE19" s="175">
        <v>0.58</v>
      </c>
      <c r="OFF19" s="175">
        <v>0.57</v>
      </c>
      <c r="OFG19" s="175">
        <v>0.55</v>
      </c>
      <c r="OFH19" s="175">
        <v>0.53</v>
      </c>
      <c r="OFI19" s="157" t="s">
        <v>67</v>
      </c>
      <c r="OFJ19" s="157"/>
      <c r="OFK19" s="157"/>
      <c r="OFL19" s="173">
        <v>0.62</v>
      </c>
      <c r="OFM19" s="173">
        <v>0.61</v>
      </c>
      <c r="OFN19" s="173">
        <v>0.61</v>
      </c>
      <c r="OFO19" s="173">
        <v>0.61</v>
      </c>
      <c r="OFP19" s="173">
        <v>0.6</v>
      </c>
      <c r="OFQ19" s="174">
        <v>0.6</v>
      </c>
      <c r="OFR19" s="173">
        <v>0.6</v>
      </c>
      <c r="OFS19" s="174">
        <v>0.59</v>
      </c>
      <c r="OFT19" s="175">
        <v>0.59</v>
      </c>
      <c r="OFU19" s="175">
        <v>0.58</v>
      </c>
      <c r="OFV19" s="175">
        <v>0.57</v>
      </c>
      <c r="OFW19" s="175">
        <v>0.55</v>
      </c>
      <c r="OFX19" s="175">
        <v>0.53</v>
      </c>
      <c r="OFY19" s="157" t="s">
        <v>67</v>
      </c>
      <c r="OFZ19" s="157"/>
      <c r="OGA19" s="157"/>
      <c r="OGB19" s="173">
        <v>0.62</v>
      </c>
      <c r="OGC19" s="173">
        <v>0.61</v>
      </c>
      <c r="OGD19" s="173">
        <v>0.61</v>
      </c>
      <c r="OGE19" s="173">
        <v>0.61</v>
      </c>
      <c r="OGF19" s="173">
        <v>0.6</v>
      </c>
      <c r="OGG19" s="174">
        <v>0.6</v>
      </c>
      <c r="OGH19" s="173">
        <v>0.6</v>
      </c>
      <c r="OGI19" s="174">
        <v>0.59</v>
      </c>
      <c r="OGJ19" s="175">
        <v>0.59</v>
      </c>
      <c r="OGK19" s="175">
        <v>0.58</v>
      </c>
      <c r="OGL19" s="175">
        <v>0.57</v>
      </c>
      <c r="OGM19" s="175">
        <v>0.55</v>
      </c>
      <c r="OGN19" s="175">
        <v>0.53</v>
      </c>
      <c r="OGO19" s="157" t="s">
        <v>67</v>
      </c>
      <c r="OGP19" s="157"/>
      <c r="OGQ19" s="157"/>
      <c r="OGR19" s="173">
        <v>0.62</v>
      </c>
      <c r="OGS19" s="173">
        <v>0.61</v>
      </c>
      <c r="OGT19" s="173">
        <v>0.61</v>
      </c>
      <c r="OGU19" s="173">
        <v>0.61</v>
      </c>
      <c r="OGV19" s="173">
        <v>0.6</v>
      </c>
      <c r="OGW19" s="174">
        <v>0.6</v>
      </c>
      <c r="OGX19" s="173">
        <v>0.6</v>
      </c>
      <c r="OGY19" s="174">
        <v>0.59</v>
      </c>
      <c r="OGZ19" s="175">
        <v>0.59</v>
      </c>
      <c r="OHA19" s="175">
        <v>0.58</v>
      </c>
      <c r="OHB19" s="175">
        <v>0.57</v>
      </c>
      <c r="OHC19" s="175">
        <v>0.55</v>
      </c>
      <c r="OHD19" s="175">
        <v>0.53</v>
      </c>
      <c r="OHE19" s="157" t="s">
        <v>67</v>
      </c>
      <c r="OHF19" s="157"/>
      <c r="OHG19" s="157"/>
      <c r="OHH19" s="173">
        <v>0.62</v>
      </c>
      <c r="OHI19" s="173">
        <v>0.61</v>
      </c>
      <c r="OHJ19" s="173">
        <v>0.61</v>
      </c>
      <c r="OHK19" s="173">
        <v>0.61</v>
      </c>
      <c r="OHL19" s="173">
        <v>0.6</v>
      </c>
      <c r="OHM19" s="174">
        <v>0.6</v>
      </c>
      <c r="OHN19" s="173">
        <v>0.6</v>
      </c>
      <c r="OHO19" s="174">
        <v>0.59</v>
      </c>
      <c r="OHP19" s="175">
        <v>0.59</v>
      </c>
      <c r="OHQ19" s="175">
        <v>0.58</v>
      </c>
      <c r="OHR19" s="175">
        <v>0.57</v>
      </c>
      <c r="OHS19" s="175">
        <v>0.55</v>
      </c>
      <c r="OHT19" s="175">
        <v>0.53</v>
      </c>
      <c r="OHU19" s="157" t="s">
        <v>67</v>
      </c>
      <c r="OHV19" s="157"/>
      <c r="OHW19" s="157"/>
      <c r="OHX19" s="173">
        <v>0.62</v>
      </c>
      <c r="OHY19" s="173">
        <v>0.61</v>
      </c>
      <c r="OHZ19" s="173">
        <v>0.61</v>
      </c>
      <c r="OIA19" s="173">
        <v>0.61</v>
      </c>
      <c r="OIB19" s="173">
        <v>0.6</v>
      </c>
      <c r="OIC19" s="174">
        <v>0.6</v>
      </c>
      <c r="OID19" s="173">
        <v>0.6</v>
      </c>
      <c r="OIE19" s="174">
        <v>0.59</v>
      </c>
      <c r="OIF19" s="175">
        <v>0.59</v>
      </c>
      <c r="OIG19" s="175">
        <v>0.58</v>
      </c>
      <c r="OIH19" s="175">
        <v>0.57</v>
      </c>
      <c r="OII19" s="175">
        <v>0.55</v>
      </c>
      <c r="OIJ19" s="175">
        <v>0.53</v>
      </c>
      <c r="OIK19" s="157" t="s">
        <v>67</v>
      </c>
      <c r="OIL19" s="157"/>
      <c r="OIM19" s="157"/>
      <c r="OIN19" s="173">
        <v>0.62</v>
      </c>
      <c r="OIO19" s="173">
        <v>0.61</v>
      </c>
      <c r="OIP19" s="173">
        <v>0.61</v>
      </c>
      <c r="OIQ19" s="173">
        <v>0.61</v>
      </c>
      <c r="OIR19" s="173">
        <v>0.6</v>
      </c>
      <c r="OIS19" s="174">
        <v>0.6</v>
      </c>
      <c r="OIT19" s="173">
        <v>0.6</v>
      </c>
      <c r="OIU19" s="174">
        <v>0.59</v>
      </c>
      <c r="OIV19" s="175">
        <v>0.59</v>
      </c>
      <c r="OIW19" s="175">
        <v>0.58</v>
      </c>
      <c r="OIX19" s="175">
        <v>0.57</v>
      </c>
      <c r="OIY19" s="175">
        <v>0.55</v>
      </c>
      <c r="OIZ19" s="175">
        <v>0.53</v>
      </c>
      <c r="OJA19" s="157" t="s">
        <v>67</v>
      </c>
      <c r="OJB19" s="157"/>
      <c r="OJC19" s="157"/>
      <c r="OJD19" s="173">
        <v>0.62</v>
      </c>
      <c r="OJE19" s="173">
        <v>0.61</v>
      </c>
      <c r="OJF19" s="173">
        <v>0.61</v>
      </c>
      <c r="OJG19" s="173">
        <v>0.61</v>
      </c>
      <c r="OJH19" s="173">
        <v>0.6</v>
      </c>
      <c r="OJI19" s="174">
        <v>0.6</v>
      </c>
      <c r="OJJ19" s="173">
        <v>0.6</v>
      </c>
      <c r="OJK19" s="174">
        <v>0.59</v>
      </c>
      <c r="OJL19" s="175">
        <v>0.59</v>
      </c>
      <c r="OJM19" s="175">
        <v>0.58</v>
      </c>
      <c r="OJN19" s="175">
        <v>0.57</v>
      </c>
      <c r="OJO19" s="175">
        <v>0.55</v>
      </c>
      <c r="OJP19" s="175">
        <v>0.53</v>
      </c>
      <c r="OJQ19" s="157" t="s">
        <v>67</v>
      </c>
      <c r="OJR19" s="157"/>
      <c r="OJS19" s="157"/>
      <c r="OJT19" s="173">
        <v>0.62</v>
      </c>
      <c r="OJU19" s="173">
        <v>0.61</v>
      </c>
      <c r="OJV19" s="173">
        <v>0.61</v>
      </c>
      <c r="OJW19" s="173">
        <v>0.61</v>
      </c>
      <c r="OJX19" s="173">
        <v>0.6</v>
      </c>
      <c r="OJY19" s="174">
        <v>0.6</v>
      </c>
      <c r="OJZ19" s="173">
        <v>0.6</v>
      </c>
      <c r="OKA19" s="174">
        <v>0.59</v>
      </c>
      <c r="OKB19" s="175">
        <v>0.59</v>
      </c>
      <c r="OKC19" s="175">
        <v>0.58</v>
      </c>
      <c r="OKD19" s="175">
        <v>0.57</v>
      </c>
      <c r="OKE19" s="175">
        <v>0.55</v>
      </c>
      <c r="OKF19" s="175">
        <v>0.53</v>
      </c>
      <c r="OKG19" s="157" t="s">
        <v>67</v>
      </c>
      <c r="OKH19" s="157"/>
      <c r="OKI19" s="157"/>
      <c r="OKJ19" s="173">
        <v>0.62</v>
      </c>
      <c r="OKK19" s="173">
        <v>0.61</v>
      </c>
      <c r="OKL19" s="173">
        <v>0.61</v>
      </c>
      <c r="OKM19" s="173">
        <v>0.61</v>
      </c>
      <c r="OKN19" s="173">
        <v>0.6</v>
      </c>
      <c r="OKO19" s="174">
        <v>0.6</v>
      </c>
      <c r="OKP19" s="173">
        <v>0.6</v>
      </c>
      <c r="OKQ19" s="174">
        <v>0.59</v>
      </c>
      <c r="OKR19" s="175">
        <v>0.59</v>
      </c>
      <c r="OKS19" s="175">
        <v>0.58</v>
      </c>
      <c r="OKT19" s="175">
        <v>0.57</v>
      </c>
      <c r="OKU19" s="175">
        <v>0.55</v>
      </c>
      <c r="OKV19" s="175">
        <v>0.53</v>
      </c>
      <c r="OKW19" s="157" t="s">
        <v>67</v>
      </c>
      <c r="OKX19" s="157"/>
      <c r="OKY19" s="157"/>
      <c r="OKZ19" s="173">
        <v>0.62</v>
      </c>
      <c r="OLA19" s="173">
        <v>0.61</v>
      </c>
      <c r="OLB19" s="173">
        <v>0.61</v>
      </c>
      <c r="OLC19" s="173">
        <v>0.61</v>
      </c>
      <c r="OLD19" s="173">
        <v>0.6</v>
      </c>
      <c r="OLE19" s="174">
        <v>0.6</v>
      </c>
      <c r="OLF19" s="173">
        <v>0.6</v>
      </c>
      <c r="OLG19" s="174">
        <v>0.59</v>
      </c>
      <c r="OLH19" s="175">
        <v>0.59</v>
      </c>
      <c r="OLI19" s="175">
        <v>0.58</v>
      </c>
      <c r="OLJ19" s="175">
        <v>0.57</v>
      </c>
      <c r="OLK19" s="175">
        <v>0.55</v>
      </c>
      <c r="OLL19" s="175">
        <v>0.53</v>
      </c>
      <c r="OLM19" s="157" t="s">
        <v>67</v>
      </c>
      <c r="OLN19" s="157"/>
      <c r="OLO19" s="157"/>
      <c r="OLP19" s="173">
        <v>0.62</v>
      </c>
      <c r="OLQ19" s="173">
        <v>0.61</v>
      </c>
      <c r="OLR19" s="173">
        <v>0.61</v>
      </c>
      <c r="OLS19" s="173">
        <v>0.61</v>
      </c>
      <c r="OLT19" s="173">
        <v>0.6</v>
      </c>
      <c r="OLU19" s="174">
        <v>0.6</v>
      </c>
      <c r="OLV19" s="173">
        <v>0.6</v>
      </c>
      <c r="OLW19" s="174">
        <v>0.59</v>
      </c>
      <c r="OLX19" s="175">
        <v>0.59</v>
      </c>
      <c r="OLY19" s="175">
        <v>0.58</v>
      </c>
      <c r="OLZ19" s="175">
        <v>0.57</v>
      </c>
      <c r="OMA19" s="175">
        <v>0.55</v>
      </c>
      <c r="OMB19" s="175">
        <v>0.53</v>
      </c>
      <c r="OMC19" s="157" t="s">
        <v>67</v>
      </c>
      <c r="OMD19" s="157"/>
      <c r="OME19" s="157"/>
      <c r="OMF19" s="173">
        <v>0.62</v>
      </c>
      <c r="OMG19" s="173">
        <v>0.61</v>
      </c>
      <c r="OMH19" s="173">
        <v>0.61</v>
      </c>
      <c r="OMI19" s="173">
        <v>0.61</v>
      </c>
      <c r="OMJ19" s="173">
        <v>0.6</v>
      </c>
      <c r="OMK19" s="174">
        <v>0.6</v>
      </c>
      <c r="OML19" s="173">
        <v>0.6</v>
      </c>
      <c r="OMM19" s="174">
        <v>0.59</v>
      </c>
      <c r="OMN19" s="175">
        <v>0.59</v>
      </c>
      <c r="OMO19" s="175">
        <v>0.58</v>
      </c>
      <c r="OMP19" s="175">
        <v>0.57</v>
      </c>
      <c r="OMQ19" s="175">
        <v>0.55</v>
      </c>
      <c r="OMR19" s="175">
        <v>0.53</v>
      </c>
      <c r="OMS19" s="157" t="s">
        <v>67</v>
      </c>
      <c r="OMT19" s="157"/>
      <c r="OMU19" s="157"/>
      <c r="OMV19" s="173">
        <v>0.62</v>
      </c>
      <c r="OMW19" s="173">
        <v>0.61</v>
      </c>
      <c r="OMX19" s="173">
        <v>0.61</v>
      </c>
      <c r="OMY19" s="173">
        <v>0.61</v>
      </c>
      <c r="OMZ19" s="173">
        <v>0.6</v>
      </c>
      <c r="ONA19" s="174">
        <v>0.6</v>
      </c>
      <c r="ONB19" s="173">
        <v>0.6</v>
      </c>
      <c r="ONC19" s="174">
        <v>0.59</v>
      </c>
      <c r="OND19" s="175">
        <v>0.59</v>
      </c>
      <c r="ONE19" s="175">
        <v>0.58</v>
      </c>
      <c r="ONF19" s="175">
        <v>0.57</v>
      </c>
      <c r="ONG19" s="175">
        <v>0.55</v>
      </c>
      <c r="ONH19" s="175">
        <v>0.53</v>
      </c>
      <c r="ONI19" s="157" t="s">
        <v>67</v>
      </c>
      <c r="ONJ19" s="157"/>
      <c r="ONK19" s="157"/>
      <c r="ONL19" s="173">
        <v>0.62</v>
      </c>
      <c r="ONM19" s="173">
        <v>0.61</v>
      </c>
      <c r="ONN19" s="173">
        <v>0.61</v>
      </c>
      <c r="ONO19" s="173">
        <v>0.61</v>
      </c>
      <c r="ONP19" s="173">
        <v>0.6</v>
      </c>
      <c r="ONQ19" s="174">
        <v>0.6</v>
      </c>
      <c r="ONR19" s="173">
        <v>0.6</v>
      </c>
      <c r="ONS19" s="174">
        <v>0.59</v>
      </c>
      <c r="ONT19" s="175">
        <v>0.59</v>
      </c>
      <c r="ONU19" s="175">
        <v>0.58</v>
      </c>
      <c r="ONV19" s="175">
        <v>0.57</v>
      </c>
      <c r="ONW19" s="175">
        <v>0.55</v>
      </c>
      <c r="ONX19" s="175">
        <v>0.53</v>
      </c>
      <c r="ONY19" s="157" t="s">
        <v>67</v>
      </c>
      <c r="ONZ19" s="157"/>
      <c r="OOA19" s="157"/>
      <c r="OOB19" s="173">
        <v>0.62</v>
      </c>
      <c r="OOC19" s="173">
        <v>0.61</v>
      </c>
      <c r="OOD19" s="173">
        <v>0.61</v>
      </c>
      <c r="OOE19" s="173">
        <v>0.61</v>
      </c>
      <c r="OOF19" s="173">
        <v>0.6</v>
      </c>
      <c r="OOG19" s="174">
        <v>0.6</v>
      </c>
      <c r="OOH19" s="173">
        <v>0.6</v>
      </c>
      <c r="OOI19" s="174">
        <v>0.59</v>
      </c>
      <c r="OOJ19" s="175">
        <v>0.59</v>
      </c>
      <c r="OOK19" s="175">
        <v>0.58</v>
      </c>
      <c r="OOL19" s="175">
        <v>0.57</v>
      </c>
      <c r="OOM19" s="175">
        <v>0.55</v>
      </c>
      <c r="OON19" s="175">
        <v>0.53</v>
      </c>
      <c r="OOO19" s="157" t="s">
        <v>67</v>
      </c>
      <c r="OOP19" s="157"/>
      <c r="OOQ19" s="157"/>
      <c r="OOR19" s="173">
        <v>0.62</v>
      </c>
      <c r="OOS19" s="173">
        <v>0.61</v>
      </c>
      <c r="OOT19" s="173">
        <v>0.61</v>
      </c>
      <c r="OOU19" s="173">
        <v>0.61</v>
      </c>
      <c r="OOV19" s="173">
        <v>0.6</v>
      </c>
      <c r="OOW19" s="174">
        <v>0.6</v>
      </c>
      <c r="OOX19" s="173">
        <v>0.6</v>
      </c>
      <c r="OOY19" s="174">
        <v>0.59</v>
      </c>
      <c r="OOZ19" s="175">
        <v>0.59</v>
      </c>
      <c r="OPA19" s="175">
        <v>0.58</v>
      </c>
      <c r="OPB19" s="175">
        <v>0.57</v>
      </c>
      <c r="OPC19" s="175">
        <v>0.55</v>
      </c>
      <c r="OPD19" s="175">
        <v>0.53</v>
      </c>
      <c r="OPE19" s="157" t="s">
        <v>67</v>
      </c>
      <c r="OPF19" s="157"/>
      <c r="OPG19" s="157"/>
      <c r="OPH19" s="173">
        <v>0.62</v>
      </c>
      <c r="OPI19" s="173">
        <v>0.61</v>
      </c>
      <c r="OPJ19" s="173">
        <v>0.61</v>
      </c>
      <c r="OPK19" s="173">
        <v>0.61</v>
      </c>
      <c r="OPL19" s="173">
        <v>0.6</v>
      </c>
      <c r="OPM19" s="174">
        <v>0.6</v>
      </c>
      <c r="OPN19" s="173">
        <v>0.6</v>
      </c>
      <c r="OPO19" s="174">
        <v>0.59</v>
      </c>
      <c r="OPP19" s="175">
        <v>0.59</v>
      </c>
      <c r="OPQ19" s="175">
        <v>0.58</v>
      </c>
      <c r="OPR19" s="175">
        <v>0.57</v>
      </c>
      <c r="OPS19" s="175">
        <v>0.55</v>
      </c>
      <c r="OPT19" s="175">
        <v>0.53</v>
      </c>
      <c r="OPU19" s="157" t="s">
        <v>67</v>
      </c>
      <c r="OPV19" s="157"/>
      <c r="OPW19" s="157"/>
      <c r="OPX19" s="173">
        <v>0.62</v>
      </c>
      <c r="OPY19" s="173">
        <v>0.61</v>
      </c>
      <c r="OPZ19" s="173">
        <v>0.61</v>
      </c>
      <c r="OQA19" s="173">
        <v>0.61</v>
      </c>
      <c r="OQB19" s="173">
        <v>0.6</v>
      </c>
      <c r="OQC19" s="174">
        <v>0.6</v>
      </c>
      <c r="OQD19" s="173">
        <v>0.6</v>
      </c>
      <c r="OQE19" s="174">
        <v>0.59</v>
      </c>
      <c r="OQF19" s="175">
        <v>0.59</v>
      </c>
      <c r="OQG19" s="175">
        <v>0.58</v>
      </c>
      <c r="OQH19" s="175">
        <v>0.57</v>
      </c>
      <c r="OQI19" s="175">
        <v>0.55</v>
      </c>
      <c r="OQJ19" s="175">
        <v>0.53</v>
      </c>
      <c r="OQK19" s="157" t="s">
        <v>67</v>
      </c>
      <c r="OQL19" s="157"/>
      <c r="OQM19" s="157"/>
      <c r="OQN19" s="173">
        <v>0.62</v>
      </c>
      <c r="OQO19" s="173">
        <v>0.61</v>
      </c>
      <c r="OQP19" s="173">
        <v>0.61</v>
      </c>
      <c r="OQQ19" s="173">
        <v>0.61</v>
      </c>
      <c r="OQR19" s="173">
        <v>0.6</v>
      </c>
      <c r="OQS19" s="174">
        <v>0.6</v>
      </c>
      <c r="OQT19" s="173">
        <v>0.6</v>
      </c>
      <c r="OQU19" s="174">
        <v>0.59</v>
      </c>
      <c r="OQV19" s="175">
        <v>0.59</v>
      </c>
      <c r="OQW19" s="175">
        <v>0.58</v>
      </c>
      <c r="OQX19" s="175">
        <v>0.57</v>
      </c>
      <c r="OQY19" s="175">
        <v>0.55</v>
      </c>
      <c r="OQZ19" s="175">
        <v>0.53</v>
      </c>
      <c r="ORA19" s="157" t="s">
        <v>67</v>
      </c>
      <c r="ORB19" s="157"/>
      <c r="ORC19" s="157"/>
      <c r="ORD19" s="173">
        <v>0.62</v>
      </c>
      <c r="ORE19" s="173">
        <v>0.61</v>
      </c>
      <c r="ORF19" s="173">
        <v>0.61</v>
      </c>
      <c r="ORG19" s="173">
        <v>0.61</v>
      </c>
      <c r="ORH19" s="173">
        <v>0.6</v>
      </c>
      <c r="ORI19" s="174">
        <v>0.6</v>
      </c>
      <c r="ORJ19" s="173">
        <v>0.6</v>
      </c>
      <c r="ORK19" s="174">
        <v>0.59</v>
      </c>
      <c r="ORL19" s="175">
        <v>0.59</v>
      </c>
      <c r="ORM19" s="175">
        <v>0.58</v>
      </c>
      <c r="ORN19" s="175">
        <v>0.57</v>
      </c>
      <c r="ORO19" s="175">
        <v>0.55</v>
      </c>
      <c r="ORP19" s="175">
        <v>0.53</v>
      </c>
      <c r="ORQ19" s="157" t="s">
        <v>67</v>
      </c>
      <c r="ORR19" s="157"/>
      <c r="ORS19" s="157"/>
      <c r="ORT19" s="173">
        <v>0.62</v>
      </c>
      <c r="ORU19" s="173">
        <v>0.61</v>
      </c>
      <c r="ORV19" s="173">
        <v>0.61</v>
      </c>
      <c r="ORW19" s="173">
        <v>0.61</v>
      </c>
      <c r="ORX19" s="173">
        <v>0.6</v>
      </c>
      <c r="ORY19" s="174">
        <v>0.6</v>
      </c>
      <c r="ORZ19" s="173">
        <v>0.6</v>
      </c>
      <c r="OSA19" s="174">
        <v>0.59</v>
      </c>
      <c r="OSB19" s="175">
        <v>0.59</v>
      </c>
      <c r="OSC19" s="175">
        <v>0.58</v>
      </c>
      <c r="OSD19" s="175">
        <v>0.57</v>
      </c>
      <c r="OSE19" s="175">
        <v>0.55</v>
      </c>
      <c r="OSF19" s="175">
        <v>0.53</v>
      </c>
      <c r="OSG19" s="157" t="s">
        <v>67</v>
      </c>
      <c r="OSH19" s="157"/>
      <c r="OSI19" s="157"/>
      <c r="OSJ19" s="173">
        <v>0.62</v>
      </c>
      <c r="OSK19" s="173">
        <v>0.61</v>
      </c>
      <c r="OSL19" s="173">
        <v>0.61</v>
      </c>
      <c r="OSM19" s="173">
        <v>0.61</v>
      </c>
      <c r="OSN19" s="173">
        <v>0.6</v>
      </c>
      <c r="OSO19" s="174">
        <v>0.6</v>
      </c>
      <c r="OSP19" s="173">
        <v>0.6</v>
      </c>
      <c r="OSQ19" s="174">
        <v>0.59</v>
      </c>
      <c r="OSR19" s="175">
        <v>0.59</v>
      </c>
      <c r="OSS19" s="175">
        <v>0.58</v>
      </c>
      <c r="OST19" s="175">
        <v>0.57</v>
      </c>
      <c r="OSU19" s="175">
        <v>0.55</v>
      </c>
      <c r="OSV19" s="175">
        <v>0.53</v>
      </c>
      <c r="OSW19" s="157" t="s">
        <v>67</v>
      </c>
      <c r="OSX19" s="157"/>
      <c r="OSY19" s="157"/>
      <c r="OSZ19" s="173">
        <v>0.62</v>
      </c>
      <c r="OTA19" s="173">
        <v>0.61</v>
      </c>
      <c r="OTB19" s="173">
        <v>0.61</v>
      </c>
      <c r="OTC19" s="173">
        <v>0.61</v>
      </c>
      <c r="OTD19" s="173">
        <v>0.6</v>
      </c>
      <c r="OTE19" s="174">
        <v>0.6</v>
      </c>
      <c r="OTF19" s="173">
        <v>0.6</v>
      </c>
      <c r="OTG19" s="174">
        <v>0.59</v>
      </c>
      <c r="OTH19" s="175">
        <v>0.59</v>
      </c>
      <c r="OTI19" s="175">
        <v>0.58</v>
      </c>
      <c r="OTJ19" s="175">
        <v>0.57</v>
      </c>
      <c r="OTK19" s="175">
        <v>0.55</v>
      </c>
      <c r="OTL19" s="175">
        <v>0.53</v>
      </c>
      <c r="OTM19" s="157" t="s">
        <v>67</v>
      </c>
      <c r="OTN19" s="157"/>
      <c r="OTO19" s="157"/>
      <c r="OTP19" s="173">
        <v>0.62</v>
      </c>
      <c r="OTQ19" s="173">
        <v>0.61</v>
      </c>
      <c r="OTR19" s="173">
        <v>0.61</v>
      </c>
      <c r="OTS19" s="173">
        <v>0.61</v>
      </c>
      <c r="OTT19" s="173">
        <v>0.6</v>
      </c>
      <c r="OTU19" s="174">
        <v>0.6</v>
      </c>
      <c r="OTV19" s="173">
        <v>0.6</v>
      </c>
      <c r="OTW19" s="174">
        <v>0.59</v>
      </c>
      <c r="OTX19" s="175">
        <v>0.59</v>
      </c>
      <c r="OTY19" s="175">
        <v>0.58</v>
      </c>
      <c r="OTZ19" s="175">
        <v>0.57</v>
      </c>
      <c r="OUA19" s="175">
        <v>0.55</v>
      </c>
      <c r="OUB19" s="175">
        <v>0.53</v>
      </c>
      <c r="OUC19" s="157" t="s">
        <v>67</v>
      </c>
      <c r="OUD19" s="157"/>
      <c r="OUE19" s="157"/>
      <c r="OUF19" s="173">
        <v>0.62</v>
      </c>
      <c r="OUG19" s="173">
        <v>0.61</v>
      </c>
      <c r="OUH19" s="173">
        <v>0.61</v>
      </c>
      <c r="OUI19" s="173">
        <v>0.61</v>
      </c>
      <c r="OUJ19" s="173">
        <v>0.6</v>
      </c>
      <c r="OUK19" s="174">
        <v>0.6</v>
      </c>
      <c r="OUL19" s="173">
        <v>0.6</v>
      </c>
      <c r="OUM19" s="174">
        <v>0.59</v>
      </c>
      <c r="OUN19" s="175">
        <v>0.59</v>
      </c>
      <c r="OUO19" s="175">
        <v>0.58</v>
      </c>
      <c r="OUP19" s="175">
        <v>0.57</v>
      </c>
      <c r="OUQ19" s="175">
        <v>0.55</v>
      </c>
      <c r="OUR19" s="175">
        <v>0.53</v>
      </c>
      <c r="OUS19" s="157" t="s">
        <v>67</v>
      </c>
      <c r="OUT19" s="157"/>
      <c r="OUU19" s="157"/>
      <c r="OUV19" s="173">
        <v>0.62</v>
      </c>
      <c r="OUW19" s="173">
        <v>0.61</v>
      </c>
      <c r="OUX19" s="173">
        <v>0.61</v>
      </c>
      <c r="OUY19" s="173">
        <v>0.61</v>
      </c>
      <c r="OUZ19" s="173">
        <v>0.6</v>
      </c>
      <c r="OVA19" s="174">
        <v>0.6</v>
      </c>
      <c r="OVB19" s="173">
        <v>0.6</v>
      </c>
      <c r="OVC19" s="174">
        <v>0.59</v>
      </c>
      <c r="OVD19" s="175">
        <v>0.59</v>
      </c>
      <c r="OVE19" s="175">
        <v>0.58</v>
      </c>
      <c r="OVF19" s="175">
        <v>0.57</v>
      </c>
      <c r="OVG19" s="175">
        <v>0.55</v>
      </c>
      <c r="OVH19" s="175">
        <v>0.53</v>
      </c>
      <c r="OVI19" s="157" t="s">
        <v>67</v>
      </c>
      <c r="OVJ19" s="157"/>
      <c r="OVK19" s="157"/>
      <c r="OVL19" s="173">
        <v>0.62</v>
      </c>
      <c r="OVM19" s="173">
        <v>0.61</v>
      </c>
      <c r="OVN19" s="173">
        <v>0.61</v>
      </c>
      <c r="OVO19" s="173">
        <v>0.61</v>
      </c>
      <c r="OVP19" s="173">
        <v>0.6</v>
      </c>
      <c r="OVQ19" s="174">
        <v>0.6</v>
      </c>
      <c r="OVR19" s="173">
        <v>0.6</v>
      </c>
      <c r="OVS19" s="174">
        <v>0.59</v>
      </c>
      <c r="OVT19" s="175">
        <v>0.59</v>
      </c>
      <c r="OVU19" s="175">
        <v>0.58</v>
      </c>
      <c r="OVV19" s="175">
        <v>0.57</v>
      </c>
      <c r="OVW19" s="175">
        <v>0.55</v>
      </c>
      <c r="OVX19" s="175">
        <v>0.53</v>
      </c>
      <c r="OVY19" s="157" t="s">
        <v>67</v>
      </c>
      <c r="OVZ19" s="157"/>
      <c r="OWA19" s="157"/>
      <c r="OWB19" s="173">
        <v>0.62</v>
      </c>
      <c r="OWC19" s="173">
        <v>0.61</v>
      </c>
      <c r="OWD19" s="173">
        <v>0.61</v>
      </c>
      <c r="OWE19" s="173">
        <v>0.61</v>
      </c>
      <c r="OWF19" s="173">
        <v>0.6</v>
      </c>
      <c r="OWG19" s="174">
        <v>0.6</v>
      </c>
      <c r="OWH19" s="173">
        <v>0.6</v>
      </c>
      <c r="OWI19" s="174">
        <v>0.59</v>
      </c>
      <c r="OWJ19" s="175">
        <v>0.59</v>
      </c>
      <c r="OWK19" s="175">
        <v>0.58</v>
      </c>
      <c r="OWL19" s="175">
        <v>0.57</v>
      </c>
      <c r="OWM19" s="175">
        <v>0.55</v>
      </c>
      <c r="OWN19" s="175">
        <v>0.53</v>
      </c>
      <c r="OWO19" s="157" t="s">
        <v>67</v>
      </c>
      <c r="OWP19" s="157"/>
      <c r="OWQ19" s="157"/>
      <c r="OWR19" s="173">
        <v>0.62</v>
      </c>
      <c r="OWS19" s="173">
        <v>0.61</v>
      </c>
      <c r="OWT19" s="173">
        <v>0.61</v>
      </c>
      <c r="OWU19" s="173">
        <v>0.61</v>
      </c>
      <c r="OWV19" s="173">
        <v>0.6</v>
      </c>
      <c r="OWW19" s="174">
        <v>0.6</v>
      </c>
      <c r="OWX19" s="173">
        <v>0.6</v>
      </c>
      <c r="OWY19" s="174">
        <v>0.59</v>
      </c>
      <c r="OWZ19" s="175">
        <v>0.59</v>
      </c>
      <c r="OXA19" s="175">
        <v>0.58</v>
      </c>
      <c r="OXB19" s="175">
        <v>0.57</v>
      </c>
      <c r="OXC19" s="175">
        <v>0.55</v>
      </c>
      <c r="OXD19" s="175">
        <v>0.53</v>
      </c>
      <c r="OXE19" s="157" t="s">
        <v>67</v>
      </c>
      <c r="OXF19" s="157"/>
      <c r="OXG19" s="157"/>
      <c r="OXH19" s="173">
        <v>0.62</v>
      </c>
      <c r="OXI19" s="173">
        <v>0.61</v>
      </c>
      <c r="OXJ19" s="173">
        <v>0.61</v>
      </c>
      <c r="OXK19" s="173">
        <v>0.61</v>
      </c>
      <c r="OXL19" s="173">
        <v>0.6</v>
      </c>
      <c r="OXM19" s="174">
        <v>0.6</v>
      </c>
      <c r="OXN19" s="173">
        <v>0.6</v>
      </c>
      <c r="OXO19" s="174">
        <v>0.59</v>
      </c>
      <c r="OXP19" s="175">
        <v>0.59</v>
      </c>
      <c r="OXQ19" s="175">
        <v>0.58</v>
      </c>
      <c r="OXR19" s="175">
        <v>0.57</v>
      </c>
      <c r="OXS19" s="175">
        <v>0.55</v>
      </c>
      <c r="OXT19" s="175">
        <v>0.53</v>
      </c>
      <c r="OXU19" s="157" t="s">
        <v>67</v>
      </c>
      <c r="OXV19" s="157"/>
      <c r="OXW19" s="157"/>
      <c r="OXX19" s="173">
        <v>0.62</v>
      </c>
      <c r="OXY19" s="173">
        <v>0.61</v>
      </c>
      <c r="OXZ19" s="173">
        <v>0.61</v>
      </c>
      <c r="OYA19" s="173">
        <v>0.61</v>
      </c>
      <c r="OYB19" s="173">
        <v>0.6</v>
      </c>
      <c r="OYC19" s="174">
        <v>0.6</v>
      </c>
      <c r="OYD19" s="173">
        <v>0.6</v>
      </c>
      <c r="OYE19" s="174">
        <v>0.59</v>
      </c>
      <c r="OYF19" s="175">
        <v>0.59</v>
      </c>
      <c r="OYG19" s="175">
        <v>0.58</v>
      </c>
      <c r="OYH19" s="175">
        <v>0.57</v>
      </c>
      <c r="OYI19" s="175">
        <v>0.55</v>
      </c>
      <c r="OYJ19" s="175">
        <v>0.53</v>
      </c>
      <c r="OYK19" s="157" t="s">
        <v>67</v>
      </c>
      <c r="OYL19" s="157"/>
      <c r="OYM19" s="157"/>
      <c r="OYN19" s="173">
        <v>0.62</v>
      </c>
      <c r="OYO19" s="173">
        <v>0.61</v>
      </c>
      <c r="OYP19" s="173">
        <v>0.61</v>
      </c>
      <c r="OYQ19" s="173">
        <v>0.61</v>
      </c>
      <c r="OYR19" s="173">
        <v>0.6</v>
      </c>
      <c r="OYS19" s="174">
        <v>0.6</v>
      </c>
      <c r="OYT19" s="173">
        <v>0.6</v>
      </c>
      <c r="OYU19" s="174">
        <v>0.59</v>
      </c>
      <c r="OYV19" s="175">
        <v>0.59</v>
      </c>
      <c r="OYW19" s="175">
        <v>0.58</v>
      </c>
      <c r="OYX19" s="175">
        <v>0.57</v>
      </c>
      <c r="OYY19" s="175">
        <v>0.55</v>
      </c>
      <c r="OYZ19" s="175">
        <v>0.53</v>
      </c>
      <c r="OZA19" s="157" t="s">
        <v>67</v>
      </c>
      <c r="OZB19" s="157"/>
      <c r="OZC19" s="157"/>
      <c r="OZD19" s="173">
        <v>0.62</v>
      </c>
      <c r="OZE19" s="173">
        <v>0.61</v>
      </c>
      <c r="OZF19" s="173">
        <v>0.61</v>
      </c>
      <c r="OZG19" s="173">
        <v>0.61</v>
      </c>
      <c r="OZH19" s="173">
        <v>0.6</v>
      </c>
      <c r="OZI19" s="174">
        <v>0.6</v>
      </c>
      <c r="OZJ19" s="173">
        <v>0.6</v>
      </c>
      <c r="OZK19" s="174">
        <v>0.59</v>
      </c>
      <c r="OZL19" s="175">
        <v>0.59</v>
      </c>
      <c r="OZM19" s="175">
        <v>0.58</v>
      </c>
      <c r="OZN19" s="175">
        <v>0.57</v>
      </c>
      <c r="OZO19" s="175">
        <v>0.55</v>
      </c>
      <c r="OZP19" s="175">
        <v>0.53</v>
      </c>
      <c r="OZQ19" s="157" t="s">
        <v>67</v>
      </c>
      <c r="OZR19" s="157"/>
      <c r="OZS19" s="157"/>
      <c r="OZT19" s="173">
        <v>0.62</v>
      </c>
      <c r="OZU19" s="173">
        <v>0.61</v>
      </c>
      <c r="OZV19" s="173">
        <v>0.61</v>
      </c>
      <c r="OZW19" s="173">
        <v>0.61</v>
      </c>
      <c r="OZX19" s="173">
        <v>0.6</v>
      </c>
      <c r="OZY19" s="174">
        <v>0.6</v>
      </c>
      <c r="OZZ19" s="173">
        <v>0.6</v>
      </c>
      <c r="PAA19" s="174">
        <v>0.59</v>
      </c>
      <c r="PAB19" s="175">
        <v>0.59</v>
      </c>
      <c r="PAC19" s="175">
        <v>0.58</v>
      </c>
      <c r="PAD19" s="175">
        <v>0.57</v>
      </c>
      <c r="PAE19" s="175">
        <v>0.55</v>
      </c>
      <c r="PAF19" s="175">
        <v>0.53</v>
      </c>
      <c r="PAG19" s="157" t="s">
        <v>67</v>
      </c>
      <c r="PAH19" s="157"/>
      <c r="PAI19" s="157"/>
      <c r="PAJ19" s="173">
        <v>0.62</v>
      </c>
      <c r="PAK19" s="173">
        <v>0.61</v>
      </c>
      <c r="PAL19" s="173">
        <v>0.61</v>
      </c>
      <c r="PAM19" s="173">
        <v>0.61</v>
      </c>
      <c r="PAN19" s="173">
        <v>0.6</v>
      </c>
      <c r="PAO19" s="174">
        <v>0.6</v>
      </c>
      <c r="PAP19" s="173">
        <v>0.6</v>
      </c>
      <c r="PAQ19" s="174">
        <v>0.59</v>
      </c>
      <c r="PAR19" s="175">
        <v>0.59</v>
      </c>
      <c r="PAS19" s="175">
        <v>0.58</v>
      </c>
      <c r="PAT19" s="175">
        <v>0.57</v>
      </c>
      <c r="PAU19" s="175">
        <v>0.55</v>
      </c>
      <c r="PAV19" s="175">
        <v>0.53</v>
      </c>
      <c r="PAW19" s="157" t="s">
        <v>67</v>
      </c>
      <c r="PAX19" s="157"/>
      <c r="PAY19" s="157"/>
      <c r="PAZ19" s="173">
        <v>0.62</v>
      </c>
      <c r="PBA19" s="173">
        <v>0.61</v>
      </c>
      <c r="PBB19" s="173">
        <v>0.61</v>
      </c>
      <c r="PBC19" s="173">
        <v>0.61</v>
      </c>
      <c r="PBD19" s="173">
        <v>0.6</v>
      </c>
      <c r="PBE19" s="174">
        <v>0.6</v>
      </c>
      <c r="PBF19" s="173">
        <v>0.6</v>
      </c>
      <c r="PBG19" s="174">
        <v>0.59</v>
      </c>
      <c r="PBH19" s="175">
        <v>0.59</v>
      </c>
      <c r="PBI19" s="175">
        <v>0.58</v>
      </c>
      <c r="PBJ19" s="175">
        <v>0.57</v>
      </c>
      <c r="PBK19" s="175">
        <v>0.55</v>
      </c>
      <c r="PBL19" s="175">
        <v>0.53</v>
      </c>
      <c r="PBM19" s="157" t="s">
        <v>67</v>
      </c>
      <c r="PBN19" s="157"/>
      <c r="PBO19" s="157"/>
      <c r="PBP19" s="173">
        <v>0.62</v>
      </c>
      <c r="PBQ19" s="173">
        <v>0.61</v>
      </c>
      <c r="PBR19" s="173">
        <v>0.61</v>
      </c>
      <c r="PBS19" s="173">
        <v>0.61</v>
      </c>
      <c r="PBT19" s="173">
        <v>0.6</v>
      </c>
      <c r="PBU19" s="174">
        <v>0.6</v>
      </c>
      <c r="PBV19" s="173">
        <v>0.6</v>
      </c>
      <c r="PBW19" s="174">
        <v>0.59</v>
      </c>
      <c r="PBX19" s="175">
        <v>0.59</v>
      </c>
      <c r="PBY19" s="175">
        <v>0.58</v>
      </c>
      <c r="PBZ19" s="175">
        <v>0.57</v>
      </c>
      <c r="PCA19" s="175">
        <v>0.55</v>
      </c>
      <c r="PCB19" s="175">
        <v>0.53</v>
      </c>
      <c r="PCC19" s="157" t="s">
        <v>67</v>
      </c>
      <c r="PCD19" s="157"/>
      <c r="PCE19" s="157"/>
      <c r="PCF19" s="173">
        <v>0.62</v>
      </c>
      <c r="PCG19" s="173">
        <v>0.61</v>
      </c>
      <c r="PCH19" s="173">
        <v>0.61</v>
      </c>
      <c r="PCI19" s="173">
        <v>0.61</v>
      </c>
      <c r="PCJ19" s="173">
        <v>0.6</v>
      </c>
      <c r="PCK19" s="174">
        <v>0.6</v>
      </c>
      <c r="PCL19" s="173">
        <v>0.6</v>
      </c>
      <c r="PCM19" s="174">
        <v>0.59</v>
      </c>
      <c r="PCN19" s="175">
        <v>0.59</v>
      </c>
      <c r="PCO19" s="175">
        <v>0.58</v>
      </c>
      <c r="PCP19" s="175">
        <v>0.57</v>
      </c>
      <c r="PCQ19" s="175">
        <v>0.55</v>
      </c>
      <c r="PCR19" s="175">
        <v>0.53</v>
      </c>
      <c r="PCS19" s="157" t="s">
        <v>67</v>
      </c>
      <c r="PCT19" s="157"/>
      <c r="PCU19" s="157"/>
      <c r="PCV19" s="173">
        <v>0.62</v>
      </c>
      <c r="PCW19" s="173">
        <v>0.61</v>
      </c>
      <c r="PCX19" s="173">
        <v>0.61</v>
      </c>
      <c r="PCY19" s="173">
        <v>0.61</v>
      </c>
      <c r="PCZ19" s="173">
        <v>0.6</v>
      </c>
      <c r="PDA19" s="174">
        <v>0.6</v>
      </c>
      <c r="PDB19" s="173">
        <v>0.6</v>
      </c>
      <c r="PDC19" s="174">
        <v>0.59</v>
      </c>
      <c r="PDD19" s="175">
        <v>0.59</v>
      </c>
      <c r="PDE19" s="175">
        <v>0.58</v>
      </c>
      <c r="PDF19" s="175">
        <v>0.57</v>
      </c>
      <c r="PDG19" s="175">
        <v>0.55</v>
      </c>
      <c r="PDH19" s="175">
        <v>0.53</v>
      </c>
      <c r="PDI19" s="157" t="s">
        <v>67</v>
      </c>
      <c r="PDJ19" s="157"/>
      <c r="PDK19" s="157"/>
      <c r="PDL19" s="173">
        <v>0.62</v>
      </c>
      <c r="PDM19" s="173">
        <v>0.61</v>
      </c>
      <c r="PDN19" s="173">
        <v>0.61</v>
      </c>
      <c r="PDO19" s="173">
        <v>0.61</v>
      </c>
      <c r="PDP19" s="173">
        <v>0.6</v>
      </c>
      <c r="PDQ19" s="174">
        <v>0.6</v>
      </c>
      <c r="PDR19" s="173">
        <v>0.6</v>
      </c>
      <c r="PDS19" s="174">
        <v>0.59</v>
      </c>
      <c r="PDT19" s="175">
        <v>0.59</v>
      </c>
      <c r="PDU19" s="175">
        <v>0.58</v>
      </c>
      <c r="PDV19" s="175">
        <v>0.57</v>
      </c>
      <c r="PDW19" s="175">
        <v>0.55</v>
      </c>
      <c r="PDX19" s="175">
        <v>0.53</v>
      </c>
      <c r="PDY19" s="157" t="s">
        <v>67</v>
      </c>
      <c r="PDZ19" s="157"/>
      <c r="PEA19" s="157"/>
      <c r="PEB19" s="173">
        <v>0.62</v>
      </c>
      <c r="PEC19" s="173">
        <v>0.61</v>
      </c>
      <c r="PED19" s="173">
        <v>0.61</v>
      </c>
      <c r="PEE19" s="173">
        <v>0.61</v>
      </c>
      <c r="PEF19" s="173">
        <v>0.6</v>
      </c>
      <c r="PEG19" s="174">
        <v>0.6</v>
      </c>
      <c r="PEH19" s="173">
        <v>0.6</v>
      </c>
      <c r="PEI19" s="174">
        <v>0.59</v>
      </c>
      <c r="PEJ19" s="175">
        <v>0.59</v>
      </c>
      <c r="PEK19" s="175">
        <v>0.58</v>
      </c>
      <c r="PEL19" s="175">
        <v>0.57</v>
      </c>
      <c r="PEM19" s="175">
        <v>0.55</v>
      </c>
      <c r="PEN19" s="175">
        <v>0.53</v>
      </c>
      <c r="PEO19" s="157" t="s">
        <v>67</v>
      </c>
      <c r="PEP19" s="157"/>
      <c r="PEQ19" s="157"/>
      <c r="PER19" s="173">
        <v>0.62</v>
      </c>
      <c r="PES19" s="173">
        <v>0.61</v>
      </c>
      <c r="PET19" s="173">
        <v>0.61</v>
      </c>
      <c r="PEU19" s="173">
        <v>0.61</v>
      </c>
      <c r="PEV19" s="173">
        <v>0.6</v>
      </c>
      <c r="PEW19" s="174">
        <v>0.6</v>
      </c>
      <c r="PEX19" s="173">
        <v>0.6</v>
      </c>
      <c r="PEY19" s="174">
        <v>0.59</v>
      </c>
      <c r="PEZ19" s="175">
        <v>0.59</v>
      </c>
      <c r="PFA19" s="175">
        <v>0.58</v>
      </c>
      <c r="PFB19" s="175">
        <v>0.57</v>
      </c>
      <c r="PFC19" s="175">
        <v>0.55</v>
      </c>
      <c r="PFD19" s="175">
        <v>0.53</v>
      </c>
      <c r="PFE19" s="157" t="s">
        <v>67</v>
      </c>
      <c r="PFF19" s="157"/>
      <c r="PFG19" s="157"/>
      <c r="PFH19" s="173">
        <v>0.62</v>
      </c>
      <c r="PFI19" s="173">
        <v>0.61</v>
      </c>
      <c r="PFJ19" s="173">
        <v>0.61</v>
      </c>
      <c r="PFK19" s="173">
        <v>0.61</v>
      </c>
      <c r="PFL19" s="173">
        <v>0.6</v>
      </c>
      <c r="PFM19" s="174">
        <v>0.6</v>
      </c>
      <c r="PFN19" s="173">
        <v>0.6</v>
      </c>
      <c r="PFO19" s="174">
        <v>0.59</v>
      </c>
      <c r="PFP19" s="175">
        <v>0.59</v>
      </c>
      <c r="PFQ19" s="175">
        <v>0.58</v>
      </c>
      <c r="PFR19" s="175">
        <v>0.57</v>
      </c>
      <c r="PFS19" s="175">
        <v>0.55</v>
      </c>
      <c r="PFT19" s="175">
        <v>0.53</v>
      </c>
      <c r="PFU19" s="157" t="s">
        <v>67</v>
      </c>
      <c r="PFV19" s="157"/>
      <c r="PFW19" s="157"/>
      <c r="PFX19" s="173">
        <v>0.62</v>
      </c>
      <c r="PFY19" s="173">
        <v>0.61</v>
      </c>
      <c r="PFZ19" s="173">
        <v>0.61</v>
      </c>
      <c r="PGA19" s="173">
        <v>0.61</v>
      </c>
      <c r="PGB19" s="173">
        <v>0.6</v>
      </c>
      <c r="PGC19" s="174">
        <v>0.6</v>
      </c>
      <c r="PGD19" s="173">
        <v>0.6</v>
      </c>
      <c r="PGE19" s="174">
        <v>0.59</v>
      </c>
      <c r="PGF19" s="175">
        <v>0.59</v>
      </c>
      <c r="PGG19" s="175">
        <v>0.58</v>
      </c>
      <c r="PGH19" s="175">
        <v>0.57</v>
      </c>
      <c r="PGI19" s="175">
        <v>0.55</v>
      </c>
      <c r="PGJ19" s="175">
        <v>0.53</v>
      </c>
      <c r="PGK19" s="157" t="s">
        <v>67</v>
      </c>
      <c r="PGL19" s="157"/>
      <c r="PGM19" s="157"/>
      <c r="PGN19" s="173">
        <v>0.62</v>
      </c>
      <c r="PGO19" s="173">
        <v>0.61</v>
      </c>
      <c r="PGP19" s="173">
        <v>0.61</v>
      </c>
      <c r="PGQ19" s="173">
        <v>0.61</v>
      </c>
      <c r="PGR19" s="173">
        <v>0.6</v>
      </c>
      <c r="PGS19" s="174">
        <v>0.6</v>
      </c>
      <c r="PGT19" s="173">
        <v>0.6</v>
      </c>
      <c r="PGU19" s="174">
        <v>0.59</v>
      </c>
      <c r="PGV19" s="175">
        <v>0.59</v>
      </c>
      <c r="PGW19" s="175">
        <v>0.58</v>
      </c>
      <c r="PGX19" s="175">
        <v>0.57</v>
      </c>
      <c r="PGY19" s="175">
        <v>0.55</v>
      </c>
      <c r="PGZ19" s="175">
        <v>0.53</v>
      </c>
      <c r="PHA19" s="157" t="s">
        <v>67</v>
      </c>
      <c r="PHB19" s="157"/>
      <c r="PHC19" s="157"/>
      <c r="PHD19" s="173">
        <v>0.62</v>
      </c>
      <c r="PHE19" s="173">
        <v>0.61</v>
      </c>
      <c r="PHF19" s="173">
        <v>0.61</v>
      </c>
      <c r="PHG19" s="173">
        <v>0.61</v>
      </c>
      <c r="PHH19" s="173">
        <v>0.6</v>
      </c>
      <c r="PHI19" s="174">
        <v>0.6</v>
      </c>
      <c r="PHJ19" s="173">
        <v>0.6</v>
      </c>
      <c r="PHK19" s="174">
        <v>0.59</v>
      </c>
      <c r="PHL19" s="175">
        <v>0.59</v>
      </c>
      <c r="PHM19" s="175">
        <v>0.58</v>
      </c>
      <c r="PHN19" s="175">
        <v>0.57</v>
      </c>
      <c r="PHO19" s="175">
        <v>0.55</v>
      </c>
      <c r="PHP19" s="175">
        <v>0.53</v>
      </c>
      <c r="PHQ19" s="157" t="s">
        <v>67</v>
      </c>
      <c r="PHR19" s="157"/>
      <c r="PHS19" s="157"/>
      <c r="PHT19" s="173">
        <v>0.62</v>
      </c>
      <c r="PHU19" s="173">
        <v>0.61</v>
      </c>
      <c r="PHV19" s="173">
        <v>0.61</v>
      </c>
      <c r="PHW19" s="173">
        <v>0.61</v>
      </c>
      <c r="PHX19" s="173">
        <v>0.6</v>
      </c>
      <c r="PHY19" s="174">
        <v>0.6</v>
      </c>
      <c r="PHZ19" s="173">
        <v>0.6</v>
      </c>
      <c r="PIA19" s="174">
        <v>0.59</v>
      </c>
      <c r="PIB19" s="175">
        <v>0.59</v>
      </c>
      <c r="PIC19" s="175">
        <v>0.58</v>
      </c>
      <c r="PID19" s="175">
        <v>0.57</v>
      </c>
      <c r="PIE19" s="175">
        <v>0.55</v>
      </c>
      <c r="PIF19" s="175">
        <v>0.53</v>
      </c>
      <c r="PIG19" s="157" t="s">
        <v>67</v>
      </c>
      <c r="PIH19" s="157"/>
      <c r="PII19" s="157"/>
      <c r="PIJ19" s="173">
        <v>0.62</v>
      </c>
      <c r="PIK19" s="173">
        <v>0.61</v>
      </c>
      <c r="PIL19" s="173">
        <v>0.61</v>
      </c>
      <c r="PIM19" s="173">
        <v>0.61</v>
      </c>
      <c r="PIN19" s="173">
        <v>0.6</v>
      </c>
      <c r="PIO19" s="174">
        <v>0.6</v>
      </c>
      <c r="PIP19" s="173">
        <v>0.6</v>
      </c>
      <c r="PIQ19" s="174">
        <v>0.59</v>
      </c>
      <c r="PIR19" s="175">
        <v>0.59</v>
      </c>
      <c r="PIS19" s="175">
        <v>0.58</v>
      </c>
      <c r="PIT19" s="175">
        <v>0.57</v>
      </c>
      <c r="PIU19" s="175">
        <v>0.55</v>
      </c>
      <c r="PIV19" s="175">
        <v>0.53</v>
      </c>
      <c r="PIW19" s="157" t="s">
        <v>67</v>
      </c>
      <c r="PIX19" s="157"/>
      <c r="PIY19" s="157"/>
      <c r="PIZ19" s="173">
        <v>0.62</v>
      </c>
      <c r="PJA19" s="173">
        <v>0.61</v>
      </c>
      <c r="PJB19" s="173">
        <v>0.61</v>
      </c>
      <c r="PJC19" s="173">
        <v>0.61</v>
      </c>
      <c r="PJD19" s="173">
        <v>0.6</v>
      </c>
      <c r="PJE19" s="174">
        <v>0.6</v>
      </c>
      <c r="PJF19" s="173">
        <v>0.6</v>
      </c>
      <c r="PJG19" s="174">
        <v>0.59</v>
      </c>
      <c r="PJH19" s="175">
        <v>0.59</v>
      </c>
      <c r="PJI19" s="175">
        <v>0.58</v>
      </c>
      <c r="PJJ19" s="175">
        <v>0.57</v>
      </c>
      <c r="PJK19" s="175">
        <v>0.55</v>
      </c>
      <c r="PJL19" s="175">
        <v>0.53</v>
      </c>
      <c r="PJM19" s="157" t="s">
        <v>67</v>
      </c>
      <c r="PJN19" s="157"/>
      <c r="PJO19" s="157"/>
      <c r="PJP19" s="173">
        <v>0.62</v>
      </c>
      <c r="PJQ19" s="173">
        <v>0.61</v>
      </c>
      <c r="PJR19" s="173">
        <v>0.61</v>
      </c>
      <c r="PJS19" s="173">
        <v>0.61</v>
      </c>
      <c r="PJT19" s="173">
        <v>0.6</v>
      </c>
      <c r="PJU19" s="174">
        <v>0.6</v>
      </c>
      <c r="PJV19" s="173">
        <v>0.6</v>
      </c>
      <c r="PJW19" s="174">
        <v>0.59</v>
      </c>
      <c r="PJX19" s="175">
        <v>0.59</v>
      </c>
      <c r="PJY19" s="175">
        <v>0.58</v>
      </c>
      <c r="PJZ19" s="175">
        <v>0.57</v>
      </c>
      <c r="PKA19" s="175">
        <v>0.55</v>
      </c>
      <c r="PKB19" s="175">
        <v>0.53</v>
      </c>
      <c r="PKC19" s="157" t="s">
        <v>67</v>
      </c>
      <c r="PKD19" s="157"/>
      <c r="PKE19" s="157"/>
      <c r="PKF19" s="173">
        <v>0.62</v>
      </c>
      <c r="PKG19" s="173">
        <v>0.61</v>
      </c>
      <c r="PKH19" s="173">
        <v>0.61</v>
      </c>
      <c r="PKI19" s="173">
        <v>0.61</v>
      </c>
      <c r="PKJ19" s="173">
        <v>0.6</v>
      </c>
      <c r="PKK19" s="174">
        <v>0.6</v>
      </c>
      <c r="PKL19" s="173">
        <v>0.6</v>
      </c>
      <c r="PKM19" s="174">
        <v>0.59</v>
      </c>
      <c r="PKN19" s="175">
        <v>0.59</v>
      </c>
      <c r="PKO19" s="175">
        <v>0.58</v>
      </c>
      <c r="PKP19" s="175">
        <v>0.57</v>
      </c>
      <c r="PKQ19" s="175">
        <v>0.55</v>
      </c>
      <c r="PKR19" s="175">
        <v>0.53</v>
      </c>
      <c r="PKS19" s="157" t="s">
        <v>67</v>
      </c>
      <c r="PKT19" s="157"/>
      <c r="PKU19" s="157"/>
      <c r="PKV19" s="173">
        <v>0.62</v>
      </c>
      <c r="PKW19" s="173">
        <v>0.61</v>
      </c>
      <c r="PKX19" s="173">
        <v>0.61</v>
      </c>
      <c r="PKY19" s="173">
        <v>0.61</v>
      </c>
      <c r="PKZ19" s="173">
        <v>0.6</v>
      </c>
      <c r="PLA19" s="174">
        <v>0.6</v>
      </c>
      <c r="PLB19" s="173">
        <v>0.6</v>
      </c>
      <c r="PLC19" s="174">
        <v>0.59</v>
      </c>
      <c r="PLD19" s="175">
        <v>0.59</v>
      </c>
      <c r="PLE19" s="175">
        <v>0.58</v>
      </c>
      <c r="PLF19" s="175">
        <v>0.57</v>
      </c>
      <c r="PLG19" s="175">
        <v>0.55</v>
      </c>
      <c r="PLH19" s="175">
        <v>0.53</v>
      </c>
      <c r="PLI19" s="157" t="s">
        <v>67</v>
      </c>
      <c r="PLJ19" s="157"/>
      <c r="PLK19" s="157"/>
      <c r="PLL19" s="173">
        <v>0.62</v>
      </c>
      <c r="PLM19" s="173">
        <v>0.61</v>
      </c>
      <c r="PLN19" s="173">
        <v>0.61</v>
      </c>
      <c r="PLO19" s="173">
        <v>0.61</v>
      </c>
      <c r="PLP19" s="173">
        <v>0.6</v>
      </c>
      <c r="PLQ19" s="174">
        <v>0.6</v>
      </c>
      <c r="PLR19" s="173">
        <v>0.6</v>
      </c>
      <c r="PLS19" s="174">
        <v>0.59</v>
      </c>
      <c r="PLT19" s="175">
        <v>0.59</v>
      </c>
      <c r="PLU19" s="175">
        <v>0.58</v>
      </c>
      <c r="PLV19" s="175">
        <v>0.57</v>
      </c>
      <c r="PLW19" s="175">
        <v>0.55</v>
      </c>
      <c r="PLX19" s="175">
        <v>0.53</v>
      </c>
      <c r="PLY19" s="157" t="s">
        <v>67</v>
      </c>
      <c r="PLZ19" s="157"/>
      <c r="PMA19" s="157"/>
      <c r="PMB19" s="173">
        <v>0.62</v>
      </c>
      <c r="PMC19" s="173">
        <v>0.61</v>
      </c>
      <c r="PMD19" s="173">
        <v>0.61</v>
      </c>
      <c r="PME19" s="173">
        <v>0.61</v>
      </c>
      <c r="PMF19" s="173">
        <v>0.6</v>
      </c>
      <c r="PMG19" s="174">
        <v>0.6</v>
      </c>
      <c r="PMH19" s="173">
        <v>0.6</v>
      </c>
      <c r="PMI19" s="174">
        <v>0.59</v>
      </c>
      <c r="PMJ19" s="175">
        <v>0.59</v>
      </c>
      <c r="PMK19" s="175">
        <v>0.58</v>
      </c>
      <c r="PML19" s="175">
        <v>0.57</v>
      </c>
      <c r="PMM19" s="175">
        <v>0.55</v>
      </c>
      <c r="PMN19" s="175">
        <v>0.53</v>
      </c>
      <c r="PMO19" s="157" t="s">
        <v>67</v>
      </c>
      <c r="PMP19" s="157"/>
      <c r="PMQ19" s="157"/>
      <c r="PMR19" s="173">
        <v>0.62</v>
      </c>
      <c r="PMS19" s="173">
        <v>0.61</v>
      </c>
      <c r="PMT19" s="173">
        <v>0.61</v>
      </c>
      <c r="PMU19" s="173">
        <v>0.61</v>
      </c>
      <c r="PMV19" s="173">
        <v>0.6</v>
      </c>
      <c r="PMW19" s="174">
        <v>0.6</v>
      </c>
      <c r="PMX19" s="173">
        <v>0.6</v>
      </c>
      <c r="PMY19" s="174">
        <v>0.59</v>
      </c>
      <c r="PMZ19" s="175">
        <v>0.59</v>
      </c>
      <c r="PNA19" s="175">
        <v>0.58</v>
      </c>
      <c r="PNB19" s="175">
        <v>0.57</v>
      </c>
      <c r="PNC19" s="175">
        <v>0.55</v>
      </c>
      <c r="PND19" s="175">
        <v>0.53</v>
      </c>
      <c r="PNE19" s="157" t="s">
        <v>67</v>
      </c>
      <c r="PNF19" s="157"/>
      <c r="PNG19" s="157"/>
      <c r="PNH19" s="173">
        <v>0.62</v>
      </c>
      <c r="PNI19" s="173">
        <v>0.61</v>
      </c>
      <c r="PNJ19" s="173">
        <v>0.61</v>
      </c>
      <c r="PNK19" s="173">
        <v>0.61</v>
      </c>
      <c r="PNL19" s="173">
        <v>0.6</v>
      </c>
      <c r="PNM19" s="174">
        <v>0.6</v>
      </c>
      <c r="PNN19" s="173">
        <v>0.6</v>
      </c>
      <c r="PNO19" s="174">
        <v>0.59</v>
      </c>
      <c r="PNP19" s="175">
        <v>0.59</v>
      </c>
      <c r="PNQ19" s="175">
        <v>0.58</v>
      </c>
      <c r="PNR19" s="175">
        <v>0.57</v>
      </c>
      <c r="PNS19" s="175">
        <v>0.55</v>
      </c>
      <c r="PNT19" s="175">
        <v>0.53</v>
      </c>
      <c r="PNU19" s="157" t="s">
        <v>67</v>
      </c>
      <c r="PNV19" s="157"/>
      <c r="PNW19" s="157"/>
      <c r="PNX19" s="173">
        <v>0.62</v>
      </c>
      <c r="PNY19" s="173">
        <v>0.61</v>
      </c>
      <c r="PNZ19" s="173">
        <v>0.61</v>
      </c>
      <c r="POA19" s="173">
        <v>0.61</v>
      </c>
      <c r="POB19" s="173">
        <v>0.6</v>
      </c>
      <c r="POC19" s="174">
        <v>0.6</v>
      </c>
      <c r="POD19" s="173">
        <v>0.6</v>
      </c>
      <c r="POE19" s="174">
        <v>0.59</v>
      </c>
      <c r="POF19" s="175">
        <v>0.59</v>
      </c>
      <c r="POG19" s="175">
        <v>0.58</v>
      </c>
      <c r="POH19" s="175">
        <v>0.57</v>
      </c>
      <c r="POI19" s="175">
        <v>0.55</v>
      </c>
      <c r="POJ19" s="175">
        <v>0.53</v>
      </c>
      <c r="POK19" s="157" t="s">
        <v>67</v>
      </c>
      <c r="POL19" s="157"/>
      <c r="POM19" s="157"/>
      <c r="PON19" s="173">
        <v>0.62</v>
      </c>
      <c r="POO19" s="173">
        <v>0.61</v>
      </c>
      <c r="POP19" s="173">
        <v>0.61</v>
      </c>
      <c r="POQ19" s="173">
        <v>0.61</v>
      </c>
      <c r="POR19" s="173">
        <v>0.6</v>
      </c>
      <c r="POS19" s="174">
        <v>0.6</v>
      </c>
      <c r="POT19" s="173">
        <v>0.6</v>
      </c>
      <c r="POU19" s="174">
        <v>0.59</v>
      </c>
      <c r="POV19" s="175">
        <v>0.59</v>
      </c>
      <c r="POW19" s="175">
        <v>0.58</v>
      </c>
      <c r="POX19" s="175">
        <v>0.57</v>
      </c>
      <c r="POY19" s="175">
        <v>0.55</v>
      </c>
      <c r="POZ19" s="175">
        <v>0.53</v>
      </c>
      <c r="PPA19" s="157" t="s">
        <v>67</v>
      </c>
      <c r="PPB19" s="157"/>
      <c r="PPC19" s="157"/>
      <c r="PPD19" s="173">
        <v>0.62</v>
      </c>
      <c r="PPE19" s="173">
        <v>0.61</v>
      </c>
      <c r="PPF19" s="173">
        <v>0.61</v>
      </c>
      <c r="PPG19" s="173">
        <v>0.61</v>
      </c>
      <c r="PPH19" s="173">
        <v>0.6</v>
      </c>
      <c r="PPI19" s="174">
        <v>0.6</v>
      </c>
      <c r="PPJ19" s="173">
        <v>0.6</v>
      </c>
      <c r="PPK19" s="174">
        <v>0.59</v>
      </c>
      <c r="PPL19" s="175">
        <v>0.59</v>
      </c>
      <c r="PPM19" s="175">
        <v>0.58</v>
      </c>
      <c r="PPN19" s="175">
        <v>0.57</v>
      </c>
      <c r="PPO19" s="175">
        <v>0.55</v>
      </c>
      <c r="PPP19" s="175">
        <v>0.53</v>
      </c>
      <c r="PPQ19" s="157" t="s">
        <v>67</v>
      </c>
      <c r="PPR19" s="157"/>
      <c r="PPS19" s="157"/>
      <c r="PPT19" s="173">
        <v>0.62</v>
      </c>
      <c r="PPU19" s="173">
        <v>0.61</v>
      </c>
      <c r="PPV19" s="173">
        <v>0.61</v>
      </c>
      <c r="PPW19" s="173">
        <v>0.61</v>
      </c>
      <c r="PPX19" s="173">
        <v>0.6</v>
      </c>
      <c r="PPY19" s="174">
        <v>0.6</v>
      </c>
      <c r="PPZ19" s="173">
        <v>0.6</v>
      </c>
      <c r="PQA19" s="174">
        <v>0.59</v>
      </c>
      <c r="PQB19" s="175">
        <v>0.59</v>
      </c>
      <c r="PQC19" s="175">
        <v>0.58</v>
      </c>
      <c r="PQD19" s="175">
        <v>0.57</v>
      </c>
      <c r="PQE19" s="175">
        <v>0.55</v>
      </c>
      <c r="PQF19" s="175">
        <v>0.53</v>
      </c>
      <c r="PQG19" s="157" t="s">
        <v>67</v>
      </c>
      <c r="PQH19" s="157"/>
      <c r="PQI19" s="157"/>
      <c r="PQJ19" s="173">
        <v>0.62</v>
      </c>
      <c r="PQK19" s="173">
        <v>0.61</v>
      </c>
      <c r="PQL19" s="173">
        <v>0.61</v>
      </c>
      <c r="PQM19" s="173">
        <v>0.61</v>
      </c>
      <c r="PQN19" s="173">
        <v>0.6</v>
      </c>
      <c r="PQO19" s="174">
        <v>0.6</v>
      </c>
      <c r="PQP19" s="173">
        <v>0.6</v>
      </c>
      <c r="PQQ19" s="174">
        <v>0.59</v>
      </c>
      <c r="PQR19" s="175">
        <v>0.59</v>
      </c>
      <c r="PQS19" s="175">
        <v>0.58</v>
      </c>
      <c r="PQT19" s="175">
        <v>0.57</v>
      </c>
      <c r="PQU19" s="175">
        <v>0.55</v>
      </c>
      <c r="PQV19" s="175">
        <v>0.53</v>
      </c>
      <c r="PQW19" s="157" t="s">
        <v>67</v>
      </c>
      <c r="PQX19" s="157"/>
      <c r="PQY19" s="157"/>
      <c r="PQZ19" s="173">
        <v>0.62</v>
      </c>
      <c r="PRA19" s="173">
        <v>0.61</v>
      </c>
      <c r="PRB19" s="173">
        <v>0.61</v>
      </c>
      <c r="PRC19" s="173">
        <v>0.61</v>
      </c>
      <c r="PRD19" s="173">
        <v>0.6</v>
      </c>
      <c r="PRE19" s="174">
        <v>0.6</v>
      </c>
      <c r="PRF19" s="173">
        <v>0.6</v>
      </c>
      <c r="PRG19" s="174">
        <v>0.59</v>
      </c>
      <c r="PRH19" s="175">
        <v>0.59</v>
      </c>
      <c r="PRI19" s="175">
        <v>0.58</v>
      </c>
      <c r="PRJ19" s="175">
        <v>0.57</v>
      </c>
      <c r="PRK19" s="175">
        <v>0.55</v>
      </c>
      <c r="PRL19" s="175">
        <v>0.53</v>
      </c>
      <c r="PRM19" s="157" t="s">
        <v>67</v>
      </c>
      <c r="PRN19" s="157"/>
      <c r="PRO19" s="157"/>
      <c r="PRP19" s="173">
        <v>0.62</v>
      </c>
      <c r="PRQ19" s="173">
        <v>0.61</v>
      </c>
      <c r="PRR19" s="173">
        <v>0.61</v>
      </c>
      <c r="PRS19" s="173">
        <v>0.61</v>
      </c>
      <c r="PRT19" s="173">
        <v>0.6</v>
      </c>
      <c r="PRU19" s="174">
        <v>0.6</v>
      </c>
      <c r="PRV19" s="173">
        <v>0.6</v>
      </c>
      <c r="PRW19" s="174">
        <v>0.59</v>
      </c>
      <c r="PRX19" s="175">
        <v>0.59</v>
      </c>
      <c r="PRY19" s="175">
        <v>0.58</v>
      </c>
      <c r="PRZ19" s="175">
        <v>0.57</v>
      </c>
      <c r="PSA19" s="175">
        <v>0.55</v>
      </c>
      <c r="PSB19" s="175">
        <v>0.53</v>
      </c>
      <c r="PSC19" s="157" t="s">
        <v>67</v>
      </c>
      <c r="PSD19" s="157"/>
      <c r="PSE19" s="157"/>
      <c r="PSF19" s="173">
        <v>0.62</v>
      </c>
      <c r="PSG19" s="173">
        <v>0.61</v>
      </c>
      <c r="PSH19" s="173">
        <v>0.61</v>
      </c>
      <c r="PSI19" s="173">
        <v>0.61</v>
      </c>
      <c r="PSJ19" s="173">
        <v>0.6</v>
      </c>
      <c r="PSK19" s="174">
        <v>0.6</v>
      </c>
      <c r="PSL19" s="173">
        <v>0.6</v>
      </c>
      <c r="PSM19" s="174">
        <v>0.59</v>
      </c>
      <c r="PSN19" s="175">
        <v>0.59</v>
      </c>
      <c r="PSO19" s="175">
        <v>0.58</v>
      </c>
      <c r="PSP19" s="175">
        <v>0.57</v>
      </c>
      <c r="PSQ19" s="175">
        <v>0.55</v>
      </c>
      <c r="PSR19" s="175">
        <v>0.53</v>
      </c>
      <c r="PSS19" s="157" t="s">
        <v>67</v>
      </c>
      <c r="PST19" s="157"/>
      <c r="PSU19" s="157"/>
      <c r="PSV19" s="173">
        <v>0.62</v>
      </c>
      <c r="PSW19" s="173">
        <v>0.61</v>
      </c>
      <c r="PSX19" s="173">
        <v>0.61</v>
      </c>
      <c r="PSY19" s="173">
        <v>0.61</v>
      </c>
      <c r="PSZ19" s="173">
        <v>0.6</v>
      </c>
      <c r="PTA19" s="174">
        <v>0.6</v>
      </c>
      <c r="PTB19" s="173">
        <v>0.6</v>
      </c>
      <c r="PTC19" s="174">
        <v>0.59</v>
      </c>
      <c r="PTD19" s="175">
        <v>0.59</v>
      </c>
      <c r="PTE19" s="175">
        <v>0.58</v>
      </c>
      <c r="PTF19" s="175">
        <v>0.57</v>
      </c>
      <c r="PTG19" s="175">
        <v>0.55</v>
      </c>
      <c r="PTH19" s="175">
        <v>0.53</v>
      </c>
      <c r="PTI19" s="157" t="s">
        <v>67</v>
      </c>
      <c r="PTJ19" s="157"/>
      <c r="PTK19" s="157"/>
      <c r="PTL19" s="173">
        <v>0.62</v>
      </c>
      <c r="PTM19" s="173">
        <v>0.61</v>
      </c>
      <c r="PTN19" s="173">
        <v>0.61</v>
      </c>
      <c r="PTO19" s="173">
        <v>0.61</v>
      </c>
      <c r="PTP19" s="173">
        <v>0.6</v>
      </c>
      <c r="PTQ19" s="174">
        <v>0.6</v>
      </c>
      <c r="PTR19" s="173">
        <v>0.6</v>
      </c>
      <c r="PTS19" s="174">
        <v>0.59</v>
      </c>
      <c r="PTT19" s="175">
        <v>0.59</v>
      </c>
      <c r="PTU19" s="175">
        <v>0.58</v>
      </c>
      <c r="PTV19" s="175">
        <v>0.57</v>
      </c>
      <c r="PTW19" s="175">
        <v>0.55</v>
      </c>
      <c r="PTX19" s="175">
        <v>0.53</v>
      </c>
      <c r="PTY19" s="157" t="s">
        <v>67</v>
      </c>
      <c r="PTZ19" s="157"/>
      <c r="PUA19" s="157"/>
      <c r="PUB19" s="173">
        <v>0.62</v>
      </c>
      <c r="PUC19" s="173">
        <v>0.61</v>
      </c>
      <c r="PUD19" s="173">
        <v>0.61</v>
      </c>
      <c r="PUE19" s="173">
        <v>0.61</v>
      </c>
      <c r="PUF19" s="173">
        <v>0.6</v>
      </c>
      <c r="PUG19" s="174">
        <v>0.6</v>
      </c>
      <c r="PUH19" s="173">
        <v>0.6</v>
      </c>
      <c r="PUI19" s="174">
        <v>0.59</v>
      </c>
      <c r="PUJ19" s="175">
        <v>0.59</v>
      </c>
      <c r="PUK19" s="175">
        <v>0.58</v>
      </c>
      <c r="PUL19" s="175">
        <v>0.57</v>
      </c>
      <c r="PUM19" s="175">
        <v>0.55</v>
      </c>
      <c r="PUN19" s="175">
        <v>0.53</v>
      </c>
      <c r="PUO19" s="157" t="s">
        <v>67</v>
      </c>
      <c r="PUP19" s="157"/>
      <c r="PUQ19" s="157"/>
      <c r="PUR19" s="173">
        <v>0.62</v>
      </c>
      <c r="PUS19" s="173">
        <v>0.61</v>
      </c>
      <c r="PUT19" s="173">
        <v>0.61</v>
      </c>
      <c r="PUU19" s="173">
        <v>0.61</v>
      </c>
      <c r="PUV19" s="173">
        <v>0.6</v>
      </c>
      <c r="PUW19" s="174">
        <v>0.6</v>
      </c>
      <c r="PUX19" s="173">
        <v>0.6</v>
      </c>
      <c r="PUY19" s="174">
        <v>0.59</v>
      </c>
      <c r="PUZ19" s="175">
        <v>0.59</v>
      </c>
      <c r="PVA19" s="175">
        <v>0.58</v>
      </c>
      <c r="PVB19" s="175">
        <v>0.57</v>
      </c>
      <c r="PVC19" s="175">
        <v>0.55</v>
      </c>
      <c r="PVD19" s="175">
        <v>0.53</v>
      </c>
      <c r="PVE19" s="157" t="s">
        <v>67</v>
      </c>
      <c r="PVF19" s="157"/>
      <c r="PVG19" s="157"/>
      <c r="PVH19" s="173">
        <v>0.62</v>
      </c>
      <c r="PVI19" s="173">
        <v>0.61</v>
      </c>
      <c r="PVJ19" s="173">
        <v>0.61</v>
      </c>
      <c r="PVK19" s="173">
        <v>0.61</v>
      </c>
      <c r="PVL19" s="173">
        <v>0.6</v>
      </c>
      <c r="PVM19" s="174">
        <v>0.6</v>
      </c>
      <c r="PVN19" s="173">
        <v>0.6</v>
      </c>
      <c r="PVO19" s="174">
        <v>0.59</v>
      </c>
      <c r="PVP19" s="175">
        <v>0.59</v>
      </c>
      <c r="PVQ19" s="175">
        <v>0.58</v>
      </c>
      <c r="PVR19" s="175">
        <v>0.57</v>
      </c>
      <c r="PVS19" s="175">
        <v>0.55</v>
      </c>
      <c r="PVT19" s="175">
        <v>0.53</v>
      </c>
      <c r="PVU19" s="157" t="s">
        <v>67</v>
      </c>
      <c r="PVV19" s="157"/>
      <c r="PVW19" s="157"/>
      <c r="PVX19" s="173">
        <v>0.62</v>
      </c>
      <c r="PVY19" s="173">
        <v>0.61</v>
      </c>
      <c r="PVZ19" s="173">
        <v>0.61</v>
      </c>
      <c r="PWA19" s="173">
        <v>0.61</v>
      </c>
      <c r="PWB19" s="173">
        <v>0.6</v>
      </c>
      <c r="PWC19" s="174">
        <v>0.6</v>
      </c>
      <c r="PWD19" s="173">
        <v>0.6</v>
      </c>
      <c r="PWE19" s="174">
        <v>0.59</v>
      </c>
      <c r="PWF19" s="175">
        <v>0.59</v>
      </c>
      <c r="PWG19" s="175">
        <v>0.58</v>
      </c>
      <c r="PWH19" s="175">
        <v>0.57</v>
      </c>
      <c r="PWI19" s="175">
        <v>0.55</v>
      </c>
      <c r="PWJ19" s="175">
        <v>0.53</v>
      </c>
      <c r="PWK19" s="157" t="s">
        <v>67</v>
      </c>
      <c r="PWL19" s="157"/>
      <c r="PWM19" s="157"/>
      <c r="PWN19" s="173">
        <v>0.62</v>
      </c>
      <c r="PWO19" s="173">
        <v>0.61</v>
      </c>
      <c r="PWP19" s="173">
        <v>0.61</v>
      </c>
      <c r="PWQ19" s="173">
        <v>0.61</v>
      </c>
      <c r="PWR19" s="173">
        <v>0.6</v>
      </c>
      <c r="PWS19" s="174">
        <v>0.6</v>
      </c>
      <c r="PWT19" s="173">
        <v>0.6</v>
      </c>
      <c r="PWU19" s="174">
        <v>0.59</v>
      </c>
      <c r="PWV19" s="175">
        <v>0.59</v>
      </c>
      <c r="PWW19" s="175">
        <v>0.58</v>
      </c>
      <c r="PWX19" s="175">
        <v>0.57</v>
      </c>
      <c r="PWY19" s="175">
        <v>0.55</v>
      </c>
      <c r="PWZ19" s="175">
        <v>0.53</v>
      </c>
      <c r="PXA19" s="157" t="s">
        <v>67</v>
      </c>
      <c r="PXB19" s="157"/>
      <c r="PXC19" s="157"/>
      <c r="PXD19" s="173">
        <v>0.62</v>
      </c>
      <c r="PXE19" s="173">
        <v>0.61</v>
      </c>
      <c r="PXF19" s="173">
        <v>0.61</v>
      </c>
      <c r="PXG19" s="173">
        <v>0.61</v>
      </c>
      <c r="PXH19" s="173">
        <v>0.6</v>
      </c>
      <c r="PXI19" s="174">
        <v>0.6</v>
      </c>
      <c r="PXJ19" s="173">
        <v>0.6</v>
      </c>
      <c r="PXK19" s="174">
        <v>0.59</v>
      </c>
      <c r="PXL19" s="175">
        <v>0.59</v>
      </c>
      <c r="PXM19" s="175">
        <v>0.58</v>
      </c>
      <c r="PXN19" s="175">
        <v>0.57</v>
      </c>
      <c r="PXO19" s="175">
        <v>0.55</v>
      </c>
      <c r="PXP19" s="175">
        <v>0.53</v>
      </c>
      <c r="PXQ19" s="157" t="s">
        <v>67</v>
      </c>
      <c r="PXR19" s="157"/>
      <c r="PXS19" s="157"/>
      <c r="PXT19" s="173">
        <v>0.62</v>
      </c>
      <c r="PXU19" s="173">
        <v>0.61</v>
      </c>
      <c r="PXV19" s="173">
        <v>0.61</v>
      </c>
      <c r="PXW19" s="173">
        <v>0.61</v>
      </c>
      <c r="PXX19" s="173">
        <v>0.6</v>
      </c>
      <c r="PXY19" s="174">
        <v>0.6</v>
      </c>
      <c r="PXZ19" s="173">
        <v>0.6</v>
      </c>
      <c r="PYA19" s="174">
        <v>0.59</v>
      </c>
      <c r="PYB19" s="175">
        <v>0.59</v>
      </c>
      <c r="PYC19" s="175">
        <v>0.58</v>
      </c>
      <c r="PYD19" s="175">
        <v>0.57</v>
      </c>
      <c r="PYE19" s="175">
        <v>0.55</v>
      </c>
      <c r="PYF19" s="175">
        <v>0.53</v>
      </c>
      <c r="PYG19" s="157" t="s">
        <v>67</v>
      </c>
      <c r="PYH19" s="157"/>
      <c r="PYI19" s="157"/>
      <c r="PYJ19" s="173">
        <v>0.62</v>
      </c>
      <c r="PYK19" s="173">
        <v>0.61</v>
      </c>
      <c r="PYL19" s="173">
        <v>0.61</v>
      </c>
      <c r="PYM19" s="173">
        <v>0.61</v>
      </c>
      <c r="PYN19" s="173">
        <v>0.6</v>
      </c>
      <c r="PYO19" s="174">
        <v>0.6</v>
      </c>
      <c r="PYP19" s="173">
        <v>0.6</v>
      </c>
      <c r="PYQ19" s="174">
        <v>0.59</v>
      </c>
      <c r="PYR19" s="175">
        <v>0.59</v>
      </c>
      <c r="PYS19" s="175">
        <v>0.58</v>
      </c>
      <c r="PYT19" s="175">
        <v>0.57</v>
      </c>
      <c r="PYU19" s="175">
        <v>0.55</v>
      </c>
      <c r="PYV19" s="175">
        <v>0.53</v>
      </c>
      <c r="PYW19" s="157" t="s">
        <v>67</v>
      </c>
      <c r="PYX19" s="157"/>
      <c r="PYY19" s="157"/>
      <c r="PYZ19" s="173">
        <v>0.62</v>
      </c>
      <c r="PZA19" s="173">
        <v>0.61</v>
      </c>
      <c r="PZB19" s="173">
        <v>0.61</v>
      </c>
      <c r="PZC19" s="173">
        <v>0.61</v>
      </c>
      <c r="PZD19" s="173">
        <v>0.6</v>
      </c>
      <c r="PZE19" s="174">
        <v>0.6</v>
      </c>
      <c r="PZF19" s="173">
        <v>0.6</v>
      </c>
      <c r="PZG19" s="174">
        <v>0.59</v>
      </c>
      <c r="PZH19" s="175">
        <v>0.59</v>
      </c>
      <c r="PZI19" s="175">
        <v>0.58</v>
      </c>
      <c r="PZJ19" s="175">
        <v>0.57</v>
      </c>
      <c r="PZK19" s="175">
        <v>0.55</v>
      </c>
      <c r="PZL19" s="175">
        <v>0.53</v>
      </c>
      <c r="PZM19" s="157" t="s">
        <v>67</v>
      </c>
      <c r="PZN19" s="157"/>
      <c r="PZO19" s="157"/>
      <c r="PZP19" s="173">
        <v>0.62</v>
      </c>
      <c r="PZQ19" s="173">
        <v>0.61</v>
      </c>
      <c r="PZR19" s="173">
        <v>0.61</v>
      </c>
      <c r="PZS19" s="173">
        <v>0.61</v>
      </c>
      <c r="PZT19" s="173">
        <v>0.6</v>
      </c>
      <c r="PZU19" s="174">
        <v>0.6</v>
      </c>
      <c r="PZV19" s="173">
        <v>0.6</v>
      </c>
      <c r="PZW19" s="174">
        <v>0.59</v>
      </c>
      <c r="PZX19" s="175">
        <v>0.59</v>
      </c>
      <c r="PZY19" s="175">
        <v>0.58</v>
      </c>
      <c r="PZZ19" s="175">
        <v>0.57</v>
      </c>
      <c r="QAA19" s="175">
        <v>0.55</v>
      </c>
      <c r="QAB19" s="175">
        <v>0.53</v>
      </c>
      <c r="QAC19" s="157" t="s">
        <v>67</v>
      </c>
      <c r="QAD19" s="157"/>
      <c r="QAE19" s="157"/>
      <c r="QAF19" s="173">
        <v>0.62</v>
      </c>
      <c r="QAG19" s="173">
        <v>0.61</v>
      </c>
      <c r="QAH19" s="173">
        <v>0.61</v>
      </c>
      <c r="QAI19" s="173">
        <v>0.61</v>
      </c>
      <c r="QAJ19" s="173">
        <v>0.6</v>
      </c>
      <c r="QAK19" s="174">
        <v>0.6</v>
      </c>
      <c r="QAL19" s="173">
        <v>0.6</v>
      </c>
      <c r="QAM19" s="174">
        <v>0.59</v>
      </c>
      <c r="QAN19" s="175">
        <v>0.59</v>
      </c>
      <c r="QAO19" s="175">
        <v>0.58</v>
      </c>
      <c r="QAP19" s="175">
        <v>0.57</v>
      </c>
      <c r="QAQ19" s="175">
        <v>0.55</v>
      </c>
      <c r="QAR19" s="175">
        <v>0.53</v>
      </c>
      <c r="QAS19" s="157" t="s">
        <v>67</v>
      </c>
      <c r="QAT19" s="157"/>
      <c r="QAU19" s="157"/>
      <c r="QAV19" s="173">
        <v>0.62</v>
      </c>
      <c r="QAW19" s="173">
        <v>0.61</v>
      </c>
      <c r="QAX19" s="173">
        <v>0.61</v>
      </c>
      <c r="QAY19" s="173">
        <v>0.61</v>
      </c>
      <c r="QAZ19" s="173">
        <v>0.6</v>
      </c>
      <c r="QBA19" s="174">
        <v>0.6</v>
      </c>
      <c r="QBB19" s="173">
        <v>0.6</v>
      </c>
      <c r="QBC19" s="174">
        <v>0.59</v>
      </c>
      <c r="QBD19" s="175">
        <v>0.59</v>
      </c>
      <c r="QBE19" s="175">
        <v>0.58</v>
      </c>
      <c r="QBF19" s="175">
        <v>0.57</v>
      </c>
      <c r="QBG19" s="175">
        <v>0.55</v>
      </c>
      <c r="QBH19" s="175">
        <v>0.53</v>
      </c>
      <c r="QBI19" s="157" t="s">
        <v>67</v>
      </c>
      <c r="QBJ19" s="157"/>
      <c r="QBK19" s="157"/>
      <c r="QBL19" s="173">
        <v>0.62</v>
      </c>
      <c r="QBM19" s="173">
        <v>0.61</v>
      </c>
      <c r="QBN19" s="173">
        <v>0.61</v>
      </c>
      <c r="QBO19" s="173">
        <v>0.61</v>
      </c>
      <c r="QBP19" s="173">
        <v>0.6</v>
      </c>
      <c r="QBQ19" s="174">
        <v>0.6</v>
      </c>
      <c r="QBR19" s="173">
        <v>0.6</v>
      </c>
      <c r="QBS19" s="174">
        <v>0.59</v>
      </c>
      <c r="QBT19" s="175">
        <v>0.59</v>
      </c>
      <c r="QBU19" s="175">
        <v>0.58</v>
      </c>
      <c r="QBV19" s="175">
        <v>0.57</v>
      </c>
      <c r="QBW19" s="175">
        <v>0.55</v>
      </c>
      <c r="QBX19" s="175">
        <v>0.53</v>
      </c>
      <c r="QBY19" s="157" t="s">
        <v>67</v>
      </c>
      <c r="QBZ19" s="157"/>
      <c r="QCA19" s="157"/>
      <c r="QCB19" s="173">
        <v>0.62</v>
      </c>
      <c r="QCC19" s="173">
        <v>0.61</v>
      </c>
      <c r="QCD19" s="173">
        <v>0.61</v>
      </c>
      <c r="QCE19" s="173">
        <v>0.61</v>
      </c>
      <c r="QCF19" s="173">
        <v>0.6</v>
      </c>
      <c r="QCG19" s="174">
        <v>0.6</v>
      </c>
      <c r="QCH19" s="173">
        <v>0.6</v>
      </c>
      <c r="QCI19" s="174">
        <v>0.59</v>
      </c>
      <c r="QCJ19" s="175">
        <v>0.59</v>
      </c>
      <c r="QCK19" s="175">
        <v>0.58</v>
      </c>
      <c r="QCL19" s="175">
        <v>0.57</v>
      </c>
      <c r="QCM19" s="175">
        <v>0.55</v>
      </c>
      <c r="QCN19" s="175">
        <v>0.53</v>
      </c>
      <c r="QCO19" s="157" t="s">
        <v>67</v>
      </c>
      <c r="QCP19" s="157"/>
      <c r="QCQ19" s="157"/>
      <c r="QCR19" s="173">
        <v>0.62</v>
      </c>
      <c r="QCS19" s="173">
        <v>0.61</v>
      </c>
      <c r="QCT19" s="173">
        <v>0.61</v>
      </c>
      <c r="QCU19" s="173">
        <v>0.61</v>
      </c>
      <c r="QCV19" s="173">
        <v>0.6</v>
      </c>
      <c r="QCW19" s="174">
        <v>0.6</v>
      </c>
      <c r="QCX19" s="173">
        <v>0.6</v>
      </c>
      <c r="QCY19" s="174">
        <v>0.59</v>
      </c>
      <c r="QCZ19" s="175">
        <v>0.59</v>
      </c>
      <c r="QDA19" s="175">
        <v>0.58</v>
      </c>
      <c r="QDB19" s="175">
        <v>0.57</v>
      </c>
      <c r="QDC19" s="175">
        <v>0.55</v>
      </c>
      <c r="QDD19" s="175">
        <v>0.53</v>
      </c>
      <c r="QDE19" s="157" t="s">
        <v>67</v>
      </c>
      <c r="QDF19" s="157"/>
      <c r="QDG19" s="157"/>
      <c r="QDH19" s="173">
        <v>0.62</v>
      </c>
      <c r="QDI19" s="173">
        <v>0.61</v>
      </c>
      <c r="QDJ19" s="173">
        <v>0.61</v>
      </c>
      <c r="QDK19" s="173">
        <v>0.61</v>
      </c>
      <c r="QDL19" s="173">
        <v>0.6</v>
      </c>
      <c r="QDM19" s="174">
        <v>0.6</v>
      </c>
      <c r="QDN19" s="173">
        <v>0.6</v>
      </c>
      <c r="QDO19" s="174">
        <v>0.59</v>
      </c>
      <c r="QDP19" s="175">
        <v>0.59</v>
      </c>
      <c r="QDQ19" s="175">
        <v>0.58</v>
      </c>
      <c r="QDR19" s="175">
        <v>0.57</v>
      </c>
      <c r="QDS19" s="175">
        <v>0.55</v>
      </c>
      <c r="QDT19" s="175">
        <v>0.53</v>
      </c>
      <c r="QDU19" s="157" t="s">
        <v>67</v>
      </c>
      <c r="QDV19" s="157"/>
      <c r="QDW19" s="157"/>
      <c r="QDX19" s="173">
        <v>0.62</v>
      </c>
      <c r="QDY19" s="173">
        <v>0.61</v>
      </c>
      <c r="QDZ19" s="173">
        <v>0.61</v>
      </c>
      <c r="QEA19" s="173">
        <v>0.61</v>
      </c>
      <c r="QEB19" s="173">
        <v>0.6</v>
      </c>
      <c r="QEC19" s="174">
        <v>0.6</v>
      </c>
      <c r="QED19" s="173">
        <v>0.6</v>
      </c>
      <c r="QEE19" s="174">
        <v>0.59</v>
      </c>
      <c r="QEF19" s="175">
        <v>0.59</v>
      </c>
      <c r="QEG19" s="175">
        <v>0.58</v>
      </c>
      <c r="QEH19" s="175">
        <v>0.57</v>
      </c>
      <c r="QEI19" s="175">
        <v>0.55</v>
      </c>
      <c r="QEJ19" s="175">
        <v>0.53</v>
      </c>
      <c r="QEK19" s="157" t="s">
        <v>67</v>
      </c>
      <c r="QEL19" s="157"/>
      <c r="QEM19" s="157"/>
      <c r="QEN19" s="173">
        <v>0.62</v>
      </c>
      <c r="QEO19" s="173">
        <v>0.61</v>
      </c>
      <c r="QEP19" s="173">
        <v>0.61</v>
      </c>
      <c r="QEQ19" s="173">
        <v>0.61</v>
      </c>
      <c r="QER19" s="173">
        <v>0.6</v>
      </c>
      <c r="QES19" s="174">
        <v>0.6</v>
      </c>
      <c r="QET19" s="173">
        <v>0.6</v>
      </c>
      <c r="QEU19" s="174">
        <v>0.59</v>
      </c>
      <c r="QEV19" s="175">
        <v>0.59</v>
      </c>
      <c r="QEW19" s="175">
        <v>0.58</v>
      </c>
      <c r="QEX19" s="175">
        <v>0.57</v>
      </c>
      <c r="QEY19" s="175">
        <v>0.55</v>
      </c>
      <c r="QEZ19" s="175">
        <v>0.53</v>
      </c>
      <c r="QFA19" s="157" t="s">
        <v>67</v>
      </c>
      <c r="QFB19" s="157"/>
      <c r="QFC19" s="157"/>
      <c r="QFD19" s="173">
        <v>0.62</v>
      </c>
      <c r="QFE19" s="173">
        <v>0.61</v>
      </c>
      <c r="QFF19" s="173">
        <v>0.61</v>
      </c>
      <c r="QFG19" s="173">
        <v>0.61</v>
      </c>
      <c r="QFH19" s="173">
        <v>0.6</v>
      </c>
      <c r="QFI19" s="174">
        <v>0.6</v>
      </c>
      <c r="QFJ19" s="173">
        <v>0.6</v>
      </c>
      <c r="QFK19" s="174">
        <v>0.59</v>
      </c>
      <c r="QFL19" s="175">
        <v>0.59</v>
      </c>
      <c r="QFM19" s="175">
        <v>0.58</v>
      </c>
      <c r="QFN19" s="175">
        <v>0.57</v>
      </c>
      <c r="QFO19" s="175">
        <v>0.55</v>
      </c>
      <c r="QFP19" s="175">
        <v>0.53</v>
      </c>
      <c r="QFQ19" s="157" t="s">
        <v>67</v>
      </c>
      <c r="QFR19" s="157"/>
      <c r="QFS19" s="157"/>
      <c r="QFT19" s="173">
        <v>0.62</v>
      </c>
      <c r="QFU19" s="173">
        <v>0.61</v>
      </c>
      <c r="QFV19" s="173">
        <v>0.61</v>
      </c>
      <c r="QFW19" s="173">
        <v>0.61</v>
      </c>
      <c r="QFX19" s="173">
        <v>0.6</v>
      </c>
      <c r="QFY19" s="174">
        <v>0.6</v>
      </c>
      <c r="QFZ19" s="173">
        <v>0.6</v>
      </c>
      <c r="QGA19" s="174">
        <v>0.59</v>
      </c>
      <c r="QGB19" s="175">
        <v>0.59</v>
      </c>
      <c r="QGC19" s="175">
        <v>0.58</v>
      </c>
      <c r="QGD19" s="175">
        <v>0.57</v>
      </c>
      <c r="QGE19" s="175">
        <v>0.55</v>
      </c>
      <c r="QGF19" s="175">
        <v>0.53</v>
      </c>
      <c r="QGG19" s="157" t="s">
        <v>67</v>
      </c>
      <c r="QGH19" s="157"/>
      <c r="QGI19" s="157"/>
      <c r="QGJ19" s="173">
        <v>0.62</v>
      </c>
      <c r="QGK19" s="173">
        <v>0.61</v>
      </c>
      <c r="QGL19" s="173">
        <v>0.61</v>
      </c>
      <c r="QGM19" s="173">
        <v>0.61</v>
      </c>
      <c r="QGN19" s="173">
        <v>0.6</v>
      </c>
      <c r="QGO19" s="174">
        <v>0.6</v>
      </c>
      <c r="QGP19" s="173">
        <v>0.6</v>
      </c>
      <c r="QGQ19" s="174">
        <v>0.59</v>
      </c>
      <c r="QGR19" s="175">
        <v>0.59</v>
      </c>
      <c r="QGS19" s="175">
        <v>0.58</v>
      </c>
      <c r="QGT19" s="175">
        <v>0.57</v>
      </c>
      <c r="QGU19" s="175">
        <v>0.55</v>
      </c>
      <c r="QGV19" s="175">
        <v>0.53</v>
      </c>
      <c r="QGW19" s="157" t="s">
        <v>67</v>
      </c>
      <c r="QGX19" s="157"/>
      <c r="QGY19" s="157"/>
      <c r="QGZ19" s="173">
        <v>0.62</v>
      </c>
      <c r="QHA19" s="173">
        <v>0.61</v>
      </c>
      <c r="QHB19" s="173">
        <v>0.61</v>
      </c>
      <c r="QHC19" s="173">
        <v>0.61</v>
      </c>
      <c r="QHD19" s="173">
        <v>0.6</v>
      </c>
      <c r="QHE19" s="174">
        <v>0.6</v>
      </c>
      <c r="QHF19" s="173">
        <v>0.6</v>
      </c>
      <c r="QHG19" s="174">
        <v>0.59</v>
      </c>
      <c r="QHH19" s="175">
        <v>0.59</v>
      </c>
      <c r="QHI19" s="175">
        <v>0.58</v>
      </c>
      <c r="QHJ19" s="175">
        <v>0.57</v>
      </c>
      <c r="QHK19" s="175">
        <v>0.55</v>
      </c>
      <c r="QHL19" s="175">
        <v>0.53</v>
      </c>
      <c r="QHM19" s="157" t="s">
        <v>67</v>
      </c>
      <c r="QHN19" s="157"/>
      <c r="QHO19" s="157"/>
      <c r="QHP19" s="173">
        <v>0.62</v>
      </c>
      <c r="QHQ19" s="173">
        <v>0.61</v>
      </c>
      <c r="QHR19" s="173">
        <v>0.61</v>
      </c>
      <c r="QHS19" s="173">
        <v>0.61</v>
      </c>
      <c r="QHT19" s="173">
        <v>0.6</v>
      </c>
      <c r="QHU19" s="174">
        <v>0.6</v>
      </c>
      <c r="QHV19" s="173">
        <v>0.6</v>
      </c>
      <c r="QHW19" s="174">
        <v>0.59</v>
      </c>
      <c r="QHX19" s="175">
        <v>0.59</v>
      </c>
      <c r="QHY19" s="175">
        <v>0.58</v>
      </c>
      <c r="QHZ19" s="175">
        <v>0.57</v>
      </c>
      <c r="QIA19" s="175">
        <v>0.55</v>
      </c>
      <c r="QIB19" s="175">
        <v>0.53</v>
      </c>
      <c r="QIC19" s="157" t="s">
        <v>67</v>
      </c>
      <c r="QID19" s="157"/>
      <c r="QIE19" s="157"/>
      <c r="QIF19" s="173">
        <v>0.62</v>
      </c>
      <c r="QIG19" s="173">
        <v>0.61</v>
      </c>
      <c r="QIH19" s="173">
        <v>0.61</v>
      </c>
      <c r="QII19" s="173">
        <v>0.61</v>
      </c>
      <c r="QIJ19" s="173">
        <v>0.6</v>
      </c>
      <c r="QIK19" s="174">
        <v>0.6</v>
      </c>
      <c r="QIL19" s="173">
        <v>0.6</v>
      </c>
      <c r="QIM19" s="174">
        <v>0.59</v>
      </c>
      <c r="QIN19" s="175">
        <v>0.59</v>
      </c>
      <c r="QIO19" s="175">
        <v>0.58</v>
      </c>
      <c r="QIP19" s="175">
        <v>0.57</v>
      </c>
      <c r="QIQ19" s="175">
        <v>0.55</v>
      </c>
      <c r="QIR19" s="175">
        <v>0.53</v>
      </c>
      <c r="QIS19" s="157" t="s">
        <v>67</v>
      </c>
      <c r="QIT19" s="157"/>
      <c r="QIU19" s="157"/>
      <c r="QIV19" s="173">
        <v>0.62</v>
      </c>
      <c r="QIW19" s="173">
        <v>0.61</v>
      </c>
      <c r="QIX19" s="173">
        <v>0.61</v>
      </c>
      <c r="QIY19" s="173">
        <v>0.61</v>
      </c>
      <c r="QIZ19" s="173">
        <v>0.6</v>
      </c>
      <c r="QJA19" s="174">
        <v>0.6</v>
      </c>
      <c r="QJB19" s="173">
        <v>0.6</v>
      </c>
      <c r="QJC19" s="174">
        <v>0.59</v>
      </c>
      <c r="QJD19" s="175">
        <v>0.59</v>
      </c>
      <c r="QJE19" s="175">
        <v>0.58</v>
      </c>
      <c r="QJF19" s="175">
        <v>0.57</v>
      </c>
      <c r="QJG19" s="175">
        <v>0.55</v>
      </c>
      <c r="QJH19" s="175">
        <v>0.53</v>
      </c>
      <c r="QJI19" s="157" t="s">
        <v>67</v>
      </c>
      <c r="QJJ19" s="157"/>
      <c r="QJK19" s="157"/>
      <c r="QJL19" s="173">
        <v>0.62</v>
      </c>
      <c r="QJM19" s="173">
        <v>0.61</v>
      </c>
      <c r="QJN19" s="173">
        <v>0.61</v>
      </c>
      <c r="QJO19" s="173">
        <v>0.61</v>
      </c>
      <c r="QJP19" s="173">
        <v>0.6</v>
      </c>
      <c r="QJQ19" s="174">
        <v>0.6</v>
      </c>
      <c r="QJR19" s="173">
        <v>0.6</v>
      </c>
      <c r="QJS19" s="174">
        <v>0.59</v>
      </c>
      <c r="QJT19" s="175">
        <v>0.59</v>
      </c>
      <c r="QJU19" s="175">
        <v>0.58</v>
      </c>
      <c r="QJV19" s="175">
        <v>0.57</v>
      </c>
      <c r="QJW19" s="175">
        <v>0.55</v>
      </c>
      <c r="QJX19" s="175">
        <v>0.53</v>
      </c>
      <c r="QJY19" s="157" t="s">
        <v>67</v>
      </c>
      <c r="QJZ19" s="157"/>
      <c r="QKA19" s="157"/>
      <c r="QKB19" s="173">
        <v>0.62</v>
      </c>
      <c r="QKC19" s="173">
        <v>0.61</v>
      </c>
      <c r="QKD19" s="173">
        <v>0.61</v>
      </c>
      <c r="QKE19" s="173">
        <v>0.61</v>
      </c>
      <c r="QKF19" s="173">
        <v>0.6</v>
      </c>
      <c r="QKG19" s="174">
        <v>0.6</v>
      </c>
      <c r="QKH19" s="173">
        <v>0.6</v>
      </c>
      <c r="QKI19" s="174">
        <v>0.59</v>
      </c>
      <c r="QKJ19" s="175">
        <v>0.59</v>
      </c>
      <c r="QKK19" s="175">
        <v>0.58</v>
      </c>
      <c r="QKL19" s="175">
        <v>0.57</v>
      </c>
      <c r="QKM19" s="175">
        <v>0.55</v>
      </c>
      <c r="QKN19" s="175">
        <v>0.53</v>
      </c>
      <c r="QKO19" s="157" t="s">
        <v>67</v>
      </c>
      <c r="QKP19" s="157"/>
      <c r="QKQ19" s="157"/>
      <c r="QKR19" s="173">
        <v>0.62</v>
      </c>
      <c r="QKS19" s="173">
        <v>0.61</v>
      </c>
      <c r="QKT19" s="173">
        <v>0.61</v>
      </c>
      <c r="QKU19" s="173">
        <v>0.61</v>
      </c>
      <c r="QKV19" s="173">
        <v>0.6</v>
      </c>
      <c r="QKW19" s="174">
        <v>0.6</v>
      </c>
      <c r="QKX19" s="173">
        <v>0.6</v>
      </c>
      <c r="QKY19" s="174">
        <v>0.59</v>
      </c>
      <c r="QKZ19" s="175">
        <v>0.59</v>
      </c>
      <c r="QLA19" s="175">
        <v>0.58</v>
      </c>
      <c r="QLB19" s="175">
        <v>0.57</v>
      </c>
      <c r="QLC19" s="175">
        <v>0.55</v>
      </c>
      <c r="QLD19" s="175">
        <v>0.53</v>
      </c>
      <c r="QLE19" s="157" t="s">
        <v>67</v>
      </c>
      <c r="QLF19" s="157"/>
      <c r="QLG19" s="157"/>
      <c r="QLH19" s="173">
        <v>0.62</v>
      </c>
      <c r="QLI19" s="173">
        <v>0.61</v>
      </c>
      <c r="QLJ19" s="173">
        <v>0.61</v>
      </c>
      <c r="QLK19" s="173">
        <v>0.61</v>
      </c>
      <c r="QLL19" s="173">
        <v>0.6</v>
      </c>
      <c r="QLM19" s="174">
        <v>0.6</v>
      </c>
      <c r="QLN19" s="173">
        <v>0.6</v>
      </c>
      <c r="QLO19" s="174">
        <v>0.59</v>
      </c>
      <c r="QLP19" s="175">
        <v>0.59</v>
      </c>
      <c r="QLQ19" s="175">
        <v>0.58</v>
      </c>
      <c r="QLR19" s="175">
        <v>0.57</v>
      </c>
      <c r="QLS19" s="175">
        <v>0.55</v>
      </c>
      <c r="QLT19" s="175">
        <v>0.53</v>
      </c>
      <c r="QLU19" s="157" t="s">
        <v>67</v>
      </c>
      <c r="QLV19" s="157"/>
      <c r="QLW19" s="157"/>
      <c r="QLX19" s="173">
        <v>0.62</v>
      </c>
      <c r="QLY19" s="173">
        <v>0.61</v>
      </c>
      <c r="QLZ19" s="173">
        <v>0.61</v>
      </c>
      <c r="QMA19" s="173">
        <v>0.61</v>
      </c>
      <c r="QMB19" s="173">
        <v>0.6</v>
      </c>
      <c r="QMC19" s="174">
        <v>0.6</v>
      </c>
      <c r="QMD19" s="173">
        <v>0.6</v>
      </c>
      <c r="QME19" s="174">
        <v>0.59</v>
      </c>
      <c r="QMF19" s="175">
        <v>0.59</v>
      </c>
      <c r="QMG19" s="175">
        <v>0.58</v>
      </c>
      <c r="QMH19" s="175">
        <v>0.57</v>
      </c>
      <c r="QMI19" s="175">
        <v>0.55</v>
      </c>
      <c r="QMJ19" s="175">
        <v>0.53</v>
      </c>
      <c r="QMK19" s="157" t="s">
        <v>67</v>
      </c>
      <c r="QML19" s="157"/>
      <c r="QMM19" s="157"/>
      <c r="QMN19" s="173">
        <v>0.62</v>
      </c>
      <c r="QMO19" s="173">
        <v>0.61</v>
      </c>
      <c r="QMP19" s="173">
        <v>0.61</v>
      </c>
      <c r="QMQ19" s="173">
        <v>0.61</v>
      </c>
      <c r="QMR19" s="173">
        <v>0.6</v>
      </c>
      <c r="QMS19" s="174">
        <v>0.6</v>
      </c>
      <c r="QMT19" s="173">
        <v>0.6</v>
      </c>
      <c r="QMU19" s="174">
        <v>0.59</v>
      </c>
      <c r="QMV19" s="175">
        <v>0.59</v>
      </c>
      <c r="QMW19" s="175">
        <v>0.58</v>
      </c>
      <c r="QMX19" s="175">
        <v>0.57</v>
      </c>
      <c r="QMY19" s="175">
        <v>0.55</v>
      </c>
      <c r="QMZ19" s="175">
        <v>0.53</v>
      </c>
      <c r="QNA19" s="157" t="s">
        <v>67</v>
      </c>
      <c r="QNB19" s="157"/>
      <c r="QNC19" s="157"/>
      <c r="QND19" s="173">
        <v>0.62</v>
      </c>
      <c r="QNE19" s="173">
        <v>0.61</v>
      </c>
      <c r="QNF19" s="173">
        <v>0.61</v>
      </c>
      <c r="QNG19" s="173">
        <v>0.61</v>
      </c>
      <c r="QNH19" s="173">
        <v>0.6</v>
      </c>
      <c r="QNI19" s="174">
        <v>0.6</v>
      </c>
      <c r="QNJ19" s="173">
        <v>0.6</v>
      </c>
      <c r="QNK19" s="174">
        <v>0.59</v>
      </c>
      <c r="QNL19" s="175">
        <v>0.59</v>
      </c>
      <c r="QNM19" s="175">
        <v>0.58</v>
      </c>
      <c r="QNN19" s="175">
        <v>0.57</v>
      </c>
      <c r="QNO19" s="175">
        <v>0.55</v>
      </c>
      <c r="QNP19" s="175">
        <v>0.53</v>
      </c>
      <c r="QNQ19" s="157" t="s">
        <v>67</v>
      </c>
      <c r="QNR19" s="157"/>
      <c r="QNS19" s="157"/>
      <c r="QNT19" s="173">
        <v>0.62</v>
      </c>
      <c r="QNU19" s="173">
        <v>0.61</v>
      </c>
      <c r="QNV19" s="173">
        <v>0.61</v>
      </c>
      <c r="QNW19" s="173">
        <v>0.61</v>
      </c>
      <c r="QNX19" s="173">
        <v>0.6</v>
      </c>
      <c r="QNY19" s="174">
        <v>0.6</v>
      </c>
      <c r="QNZ19" s="173">
        <v>0.6</v>
      </c>
      <c r="QOA19" s="174">
        <v>0.59</v>
      </c>
      <c r="QOB19" s="175">
        <v>0.59</v>
      </c>
      <c r="QOC19" s="175">
        <v>0.58</v>
      </c>
      <c r="QOD19" s="175">
        <v>0.57</v>
      </c>
      <c r="QOE19" s="175">
        <v>0.55</v>
      </c>
      <c r="QOF19" s="175">
        <v>0.53</v>
      </c>
      <c r="QOG19" s="157" t="s">
        <v>67</v>
      </c>
      <c r="QOH19" s="157"/>
      <c r="QOI19" s="157"/>
      <c r="QOJ19" s="173">
        <v>0.62</v>
      </c>
      <c r="QOK19" s="173">
        <v>0.61</v>
      </c>
      <c r="QOL19" s="173">
        <v>0.61</v>
      </c>
      <c r="QOM19" s="173">
        <v>0.61</v>
      </c>
      <c r="QON19" s="173">
        <v>0.6</v>
      </c>
      <c r="QOO19" s="174">
        <v>0.6</v>
      </c>
      <c r="QOP19" s="173">
        <v>0.6</v>
      </c>
      <c r="QOQ19" s="174">
        <v>0.59</v>
      </c>
      <c r="QOR19" s="175">
        <v>0.59</v>
      </c>
      <c r="QOS19" s="175">
        <v>0.58</v>
      </c>
      <c r="QOT19" s="175">
        <v>0.57</v>
      </c>
      <c r="QOU19" s="175">
        <v>0.55</v>
      </c>
      <c r="QOV19" s="175">
        <v>0.53</v>
      </c>
      <c r="QOW19" s="157" t="s">
        <v>67</v>
      </c>
      <c r="QOX19" s="157"/>
      <c r="QOY19" s="157"/>
      <c r="QOZ19" s="173">
        <v>0.62</v>
      </c>
      <c r="QPA19" s="173">
        <v>0.61</v>
      </c>
      <c r="QPB19" s="173">
        <v>0.61</v>
      </c>
      <c r="QPC19" s="173">
        <v>0.61</v>
      </c>
      <c r="QPD19" s="173">
        <v>0.6</v>
      </c>
      <c r="QPE19" s="174">
        <v>0.6</v>
      </c>
      <c r="QPF19" s="173">
        <v>0.6</v>
      </c>
      <c r="QPG19" s="174">
        <v>0.59</v>
      </c>
      <c r="QPH19" s="175">
        <v>0.59</v>
      </c>
      <c r="QPI19" s="175">
        <v>0.58</v>
      </c>
      <c r="QPJ19" s="175">
        <v>0.57</v>
      </c>
      <c r="QPK19" s="175">
        <v>0.55</v>
      </c>
      <c r="QPL19" s="175">
        <v>0.53</v>
      </c>
      <c r="QPM19" s="157" t="s">
        <v>67</v>
      </c>
      <c r="QPN19" s="157"/>
      <c r="QPO19" s="157"/>
      <c r="QPP19" s="173">
        <v>0.62</v>
      </c>
      <c r="QPQ19" s="173">
        <v>0.61</v>
      </c>
      <c r="QPR19" s="173">
        <v>0.61</v>
      </c>
      <c r="QPS19" s="173">
        <v>0.61</v>
      </c>
      <c r="QPT19" s="173">
        <v>0.6</v>
      </c>
      <c r="QPU19" s="174">
        <v>0.6</v>
      </c>
      <c r="QPV19" s="173">
        <v>0.6</v>
      </c>
      <c r="QPW19" s="174">
        <v>0.59</v>
      </c>
      <c r="QPX19" s="175">
        <v>0.59</v>
      </c>
      <c r="QPY19" s="175">
        <v>0.58</v>
      </c>
      <c r="QPZ19" s="175">
        <v>0.57</v>
      </c>
      <c r="QQA19" s="175">
        <v>0.55</v>
      </c>
      <c r="QQB19" s="175">
        <v>0.53</v>
      </c>
      <c r="QQC19" s="157" t="s">
        <v>67</v>
      </c>
      <c r="QQD19" s="157"/>
      <c r="QQE19" s="157"/>
      <c r="QQF19" s="173">
        <v>0.62</v>
      </c>
      <c r="QQG19" s="173">
        <v>0.61</v>
      </c>
      <c r="QQH19" s="173">
        <v>0.61</v>
      </c>
      <c r="QQI19" s="173">
        <v>0.61</v>
      </c>
      <c r="QQJ19" s="173">
        <v>0.6</v>
      </c>
      <c r="QQK19" s="174">
        <v>0.6</v>
      </c>
      <c r="QQL19" s="173">
        <v>0.6</v>
      </c>
      <c r="QQM19" s="174">
        <v>0.59</v>
      </c>
      <c r="QQN19" s="175">
        <v>0.59</v>
      </c>
      <c r="QQO19" s="175">
        <v>0.58</v>
      </c>
      <c r="QQP19" s="175">
        <v>0.57</v>
      </c>
      <c r="QQQ19" s="175">
        <v>0.55</v>
      </c>
      <c r="QQR19" s="175">
        <v>0.53</v>
      </c>
      <c r="QQS19" s="157" t="s">
        <v>67</v>
      </c>
      <c r="QQT19" s="157"/>
      <c r="QQU19" s="157"/>
      <c r="QQV19" s="173">
        <v>0.62</v>
      </c>
      <c r="QQW19" s="173">
        <v>0.61</v>
      </c>
      <c r="QQX19" s="173">
        <v>0.61</v>
      </c>
      <c r="QQY19" s="173">
        <v>0.61</v>
      </c>
      <c r="QQZ19" s="173">
        <v>0.6</v>
      </c>
      <c r="QRA19" s="174">
        <v>0.6</v>
      </c>
      <c r="QRB19" s="173">
        <v>0.6</v>
      </c>
      <c r="QRC19" s="174">
        <v>0.59</v>
      </c>
      <c r="QRD19" s="175">
        <v>0.59</v>
      </c>
      <c r="QRE19" s="175">
        <v>0.58</v>
      </c>
      <c r="QRF19" s="175">
        <v>0.57</v>
      </c>
      <c r="QRG19" s="175">
        <v>0.55</v>
      </c>
      <c r="QRH19" s="175">
        <v>0.53</v>
      </c>
      <c r="QRI19" s="157" t="s">
        <v>67</v>
      </c>
      <c r="QRJ19" s="157"/>
      <c r="QRK19" s="157"/>
      <c r="QRL19" s="173">
        <v>0.62</v>
      </c>
      <c r="QRM19" s="173">
        <v>0.61</v>
      </c>
      <c r="QRN19" s="173">
        <v>0.61</v>
      </c>
      <c r="QRO19" s="173">
        <v>0.61</v>
      </c>
      <c r="QRP19" s="173">
        <v>0.6</v>
      </c>
      <c r="QRQ19" s="174">
        <v>0.6</v>
      </c>
      <c r="QRR19" s="173">
        <v>0.6</v>
      </c>
      <c r="QRS19" s="174">
        <v>0.59</v>
      </c>
      <c r="QRT19" s="175">
        <v>0.59</v>
      </c>
      <c r="QRU19" s="175">
        <v>0.58</v>
      </c>
      <c r="QRV19" s="175">
        <v>0.57</v>
      </c>
      <c r="QRW19" s="175">
        <v>0.55</v>
      </c>
      <c r="QRX19" s="175">
        <v>0.53</v>
      </c>
      <c r="QRY19" s="157" t="s">
        <v>67</v>
      </c>
      <c r="QRZ19" s="157"/>
      <c r="QSA19" s="157"/>
      <c r="QSB19" s="173">
        <v>0.62</v>
      </c>
      <c r="QSC19" s="173">
        <v>0.61</v>
      </c>
      <c r="QSD19" s="173">
        <v>0.61</v>
      </c>
      <c r="QSE19" s="173">
        <v>0.61</v>
      </c>
      <c r="QSF19" s="173">
        <v>0.6</v>
      </c>
      <c r="QSG19" s="174">
        <v>0.6</v>
      </c>
      <c r="QSH19" s="173">
        <v>0.6</v>
      </c>
      <c r="QSI19" s="174">
        <v>0.59</v>
      </c>
      <c r="QSJ19" s="175">
        <v>0.59</v>
      </c>
      <c r="QSK19" s="175">
        <v>0.58</v>
      </c>
      <c r="QSL19" s="175">
        <v>0.57</v>
      </c>
      <c r="QSM19" s="175">
        <v>0.55</v>
      </c>
      <c r="QSN19" s="175">
        <v>0.53</v>
      </c>
      <c r="QSO19" s="157" t="s">
        <v>67</v>
      </c>
      <c r="QSP19" s="157"/>
      <c r="QSQ19" s="157"/>
      <c r="QSR19" s="173">
        <v>0.62</v>
      </c>
      <c r="QSS19" s="173">
        <v>0.61</v>
      </c>
      <c r="QST19" s="173">
        <v>0.61</v>
      </c>
      <c r="QSU19" s="173">
        <v>0.61</v>
      </c>
      <c r="QSV19" s="173">
        <v>0.6</v>
      </c>
      <c r="QSW19" s="174">
        <v>0.6</v>
      </c>
      <c r="QSX19" s="173">
        <v>0.6</v>
      </c>
      <c r="QSY19" s="174">
        <v>0.59</v>
      </c>
      <c r="QSZ19" s="175">
        <v>0.59</v>
      </c>
      <c r="QTA19" s="175">
        <v>0.58</v>
      </c>
      <c r="QTB19" s="175">
        <v>0.57</v>
      </c>
      <c r="QTC19" s="175">
        <v>0.55</v>
      </c>
      <c r="QTD19" s="175">
        <v>0.53</v>
      </c>
      <c r="QTE19" s="157" t="s">
        <v>67</v>
      </c>
      <c r="QTF19" s="157"/>
      <c r="QTG19" s="157"/>
      <c r="QTH19" s="173">
        <v>0.62</v>
      </c>
      <c r="QTI19" s="173">
        <v>0.61</v>
      </c>
      <c r="QTJ19" s="173">
        <v>0.61</v>
      </c>
      <c r="QTK19" s="173">
        <v>0.61</v>
      </c>
      <c r="QTL19" s="173">
        <v>0.6</v>
      </c>
      <c r="QTM19" s="174">
        <v>0.6</v>
      </c>
      <c r="QTN19" s="173">
        <v>0.6</v>
      </c>
      <c r="QTO19" s="174">
        <v>0.59</v>
      </c>
      <c r="QTP19" s="175">
        <v>0.59</v>
      </c>
      <c r="QTQ19" s="175">
        <v>0.58</v>
      </c>
      <c r="QTR19" s="175">
        <v>0.57</v>
      </c>
      <c r="QTS19" s="175">
        <v>0.55</v>
      </c>
      <c r="QTT19" s="175">
        <v>0.53</v>
      </c>
      <c r="QTU19" s="157" t="s">
        <v>67</v>
      </c>
      <c r="QTV19" s="157"/>
      <c r="QTW19" s="157"/>
      <c r="QTX19" s="173">
        <v>0.62</v>
      </c>
      <c r="QTY19" s="173">
        <v>0.61</v>
      </c>
      <c r="QTZ19" s="173">
        <v>0.61</v>
      </c>
      <c r="QUA19" s="173">
        <v>0.61</v>
      </c>
      <c r="QUB19" s="173">
        <v>0.6</v>
      </c>
      <c r="QUC19" s="174">
        <v>0.6</v>
      </c>
      <c r="QUD19" s="173">
        <v>0.6</v>
      </c>
      <c r="QUE19" s="174">
        <v>0.59</v>
      </c>
      <c r="QUF19" s="175">
        <v>0.59</v>
      </c>
      <c r="QUG19" s="175">
        <v>0.58</v>
      </c>
      <c r="QUH19" s="175">
        <v>0.57</v>
      </c>
      <c r="QUI19" s="175">
        <v>0.55</v>
      </c>
      <c r="QUJ19" s="175">
        <v>0.53</v>
      </c>
      <c r="QUK19" s="157" t="s">
        <v>67</v>
      </c>
      <c r="QUL19" s="157"/>
      <c r="QUM19" s="157"/>
      <c r="QUN19" s="173">
        <v>0.62</v>
      </c>
      <c r="QUO19" s="173">
        <v>0.61</v>
      </c>
      <c r="QUP19" s="173">
        <v>0.61</v>
      </c>
      <c r="QUQ19" s="173">
        <v>0.61</v>
      </c>
      <c r="QUR19" s="173">
        <v>0.6</v>
      </c>
      <c r="QUS19" s="174">
        <v>0.6</v>
      </c>
      <c r="QUT19" s="173">
        <v>0.6</v>
      </c>
      <c r="QUU19" s="174">
        <v>0.59</v>
      </c>
      <c r="QUV19" s="175">
        <v>0.59</v>
      </c>
      <c r="QUW19" s="175">
        <v>0.58</v>
      </c>
      <c r="QUX19" s="175">
        <v>0.57</v>
      </c>
      <c r="QUY19" s="175">
        <v>0.55</v>
      </c>
      <c r="QUZ19" s="175">
        <v>0.53</v>
      </c>
      <c r="QVA19" s="157" t="s">
        <v>67</v>
      </c>
      <c r="QVB19" s="157"/>
      <c r="QVC19" s="157"/>
      <c r="QVD19" s="173">
        <v>0.62</v>
      </c>
      <c r="QVE19" s="173">
        <v>0.61</v>
      </c>
      <c r="QVF19" s="173">
        <v>0.61</v>
      </c>
      <c r="QVG19" s="173">
        <v>0.61</v>
      </c>
      <c r="QVH19" s="173">
        <v>0.6</v>
      </c>
      <c r="QVI19" s="174">
        <v>0.6</v>
      </c>
      <c r="QVJ19" s="173">
        <v>0.6</v>
      </c>
      <c r="QVK19" s="174">
        <v>0.59</v>
      </c>
      <c r="QVL19" s="175">
        <v>0.59</v>
      </c>
      <c r="QVM19" s="175">
        <v>0.58</v>
      </c>
      <c r="QVN19" s="175">
        <v>0.57</v>
      </c>
      <c r="QVO19" s="175">
        <v>0.55</v>
      </c>
      <c r="QVP19" s="175">
        <v>0.53</v>
      </c>
      <c r="QVQ19" s="157" t="s">
        <v>67</v>
      </c>
      <c r="QVR19" s="157"/>
      <c r="QVS19" s="157"/>
      <c r="QVT19" s="173">
        <v>0.62</v>
      </c>
      <c r="QVU19" s="173">
        <v>0.61</v>
      </c>
      <c r="QVV19" s="173">
        <v>0.61</v>
      </c>
      <c r="QVW19" s="173">
        <v>0.61</v>
      </c>
      <c r="QVX19" s="173">
        <v>0.6</v>
      </c>
      <c r="QVY19" s="174">
        <v>0.6</v>
      </c>
      <c r="QVZ19" s="173">
        <v>0.6</v>
      </c>
      <c r="QWA19" s="174">
        <v>0.59</v>
      </c>
      <c r="QWB19" s="175">
        <v>0.59</v>
      </c>
      <c r="QWC19" s="175">
        <v>0.58</v>
      </c>
      <c r="QWD19" s="175">
        <v>0.57</v>
      </c>
      <c r="QWE19" s="175">
        <v>0.55</v>
      </c>
      <c r="QWF19" s="175">
        <v>0.53</v>
      </c>
      <c r="QWG19" s="157" t="s">
        <v>67</v>
      </c>
      <c r="QWH19" s="157"/>
      <c r="QWI19" s="157"/>
      <c r="QWJ19" s="173">
        <v>0.62</v>
      </c>
      <c r="QWK19" s="173">
        <v>0.61</v>
      </c>
      <c r="QWL19" s="173">
        <v>0.61</v>
      </c>
      <c r="QWM19" s="173">
        <v>0.61</v>
      </c>
      <c r="QWN19" s="173">
        <v>0.6</v>
      </c>
      <c r="QWO19" s="174">
        <v>0.6</v>
      </c>
      <c r="QWP19" s="173">
        <v>0.6</v>
      </c>
      <c r="QWQ19" s="174">
        <v>0.59</v>
      </c>
      <c r="QWR19" s="175">
        <v>0.59</v>
      </c>
      <c r="QWS19" s="175">
        <v>0.58</v>
      </c>
      <c r="QWT19" s="175">
        <v>0.57</v>
      </c>
      <c r="QWU19" s="175">
        <v>0.55</v>
      </c>
      <c r="QWV19" s="175">
        <v>0.53</v>
      </c>
      <c r="QWW19" s="157" t="s">
        <v>67</v>
      </c>
      <c r="QWX19" s="157"/>
      <c r="QWY19" s="157"/>
      <c r="QWZ19" s="173">
        <v>0.62</v>
      </c>
      <c r="QXA19" s="173">
        <v>0.61</v>
      </c>
      <c r="QXB19" s="173">
        <v>0.61</v>
      </c>
      <c r="QXC19" s="173">
        <v>0.61</v>
      </c>
      <c r="QXD19" s="173">
        <v>0.6</v>
      </c>
      <c r="QXE19" s="174">
        <v>0.6</v>
      </c>
      <c r="QXF19" s="173">
        <v>0.6</v>
      </c>
      <c r="QXG19" s="174">
        <v>0.59</v>
      </c>
      <c r="QXH19" s="175">
        <v>0.59</v>
      </c>
      <c r="QXI19" s="175">
        <v>0.58</v>
      </c>
      <c r="QXJ19" s="175">
        <v>0.57</v>
      </c>
      <c r="QXK19" s="175">
        <v>0.55</v>
      </c>
      <c r="QXL19" s="175">
        <v>0.53</v>
      </c>
      <c r="QXM19" s="157" t="s">
        <v>67</v>
      </c>
      <c r="QXN19" s="157"/>
      <c r="QXO19" s="157"/>
      <c r="QXP19" s="173">
        <v>0.62</v>
      </c>
      <c r="QXQ19" s="173">
        <v>0.61</v>
      </c>
      <c r="QXR19" s="173">
        <v>0.61</v>
      </c>
      <c r="QXS19" s="173">
        <v>0.61</v>
      </c>
      <c r="QXT19" s="173">
        <v>0.6</v>
      </c>
      <c r="QXU19" s="174">
        <v>0.6</v>
      </c>
      <c r="QXV19" s="173">
        <v>0.6</v>
      </c>
      <c r="QXW19" s="174">
        <v>0.59</v>
      </c>
      <c r="QXX19" s="175">
        <v>0.59</v>
      </c>
      <c r="QXY19" s="175">
        <v>0.58</v>
      </c>
      <c r="QXZ19" s="175">
        <v>0.57</v>
      </c>
      <c r="QYA19" s="175">
        <v>0.55</v>
      </c>
      <c r="QYB19" s="175">
        <v>0.53</v>
      </c>
      <c r="QYC19" s="157" t="s">
        <v>67</v>
      </c>
      <c r="QYD19" s="157"/>
      <c r="QYE19" s="157"/>
      <c r="QYF19" s="173">
        <v>0.62</v>
      </c>
      <c r="QYG19" s="173">
        <v>0.61</v>
      </c>
      <c r="QYH19" s="173">
        <v>0.61</v>
      </c>
      <c r="QYI19" s="173">
        <v>0.61</v>
      </c>
      <c r="QYJ19" s="173">
        <v>0.6</v>
      </c>
      <c r="QYK19" s="174">
        <v>0.6</v>
      </c>
      <c r="QYL19" s="173">
        <v>0.6</v>
      </c>
      <c r="QYM19" s="174">
        <v>0.59</v>
      </c>
      <c r="QYN19" s="175">
        <v>0.59</v>
      </c>
      <c r="QYO19" s="175">
        <v>0.58</v>
      </c>
      <c r="QYP19" s="175">
        <v>0.57</v>
      </c>
      <c r="QYQ19" s="175">
        <v>0.55</v>
      </c>
      <c r="QYR19" s="175">
        <v>0.53</v>
      </c>
      <c r="QYS19" s="157" t="s">
        <v>67</v>
      </c>
      <c r="QYT19" s="157"/>
      <c r="QYU19" s="157"/>
      <c r="QYV19" s="173">
        <v>0.62</v>
      </c>
      <c r="QYW19" s="173">
        <v>0.61</v>
      </c>
      <c r="QYX19" s="173">
        <v>0.61</v>
      </c>
      <c r="QYY19" s="173">
        <v>0.61</v>
      </c>
      <c r="QYZ19" s="173">
        <v>0.6</v>
      </c>
      <c r="QZA19" s="174">
        <v>0.6</v>
      </c>
      <c r="QZB19" s="173">
        <v>0.6</v>
      </c>
      <c r="QZC19" s="174">
        <v>0.59</v>
      </c>
      <c r="QZD19" s="175">
        <v>0.59</v>
      </c>
      <c r="QZE19" s="175">
        <v>0.58</v>
      </c>
      <c r="QZF19" s="175">
        <v>0.57</v>
      </c>
      <c r="QZG19" s="175">
        <v>0.55</v>
      </c>
      <c r="QZH19" s="175">
        <v>0.53</v>
      </c>
      <c r="QZI19" s="157" t="s">
        <v>67</v>
      </c>
      <c r="QZJ19" s="157"/>
      <c r="QZK19" s="157"/>
      <c r="QZL19" s="173">
        <v>0.62</v>
      </c>
      <c r="QZM19" s="173">
        <v>0.61</v>
      </c>
      <c r="QZN19" s="173">
        <v>0.61</v>
      </c>
      <c r="QZO19" s="173">
        <v>0.61</v>
      </c>
      <c r="QZP19" s="173">
        <v>0.6</v>
      </c>
      <c r="QZQ19" s="174">
        <v>0.6</v>
      </c>
      <c r="QZR19" s="173">
        <v>0.6</v>
      </c>
      <c r="QZS19" s="174">
        <v>0.59</v>
      </c>
      <c r="QZT19" s="175">
        <v>0.59</v>
      </c>
      <c r="QZU19" s="175">
        <v>0.58</v>
      </c>
      <c r="QZV19" s="175">
        <v>0.57</v>
      </c>
      <c r="QZW19" s="175">
        <v>0.55</v>
      </c>
      <c r="QZX19" s="175">
        <v>0.53</v>
      </c>
      <c r="QZY19" s="157" t="s">
        <v>67</v>
      </c>
      <c r="QZZ19" s="157"/>
      <c r="RAA19" s="157"/>
      <c r="RAB19" s="173">
        <v>0.62</v>
      </c>
      <c r="RAC19" s="173">
        <v>0.61</v>
      </c>
      <c r="RAD19" s="173">
        <v>0.61</v>
      </c>
      <c r="RAE19" s="173">
        <v>0.61</v>
      </c>
      <c r="RAF19" s="173">
        <v>0.6</v>
      </c>
      <c r="RAG19" s="174">
        <v>0.6</v>
      </c>
      <c r="RAH19" s="173">
        <v>0.6</v>
      </c>
      <c r="RAI19" s="174">
        <v>0.59</v>
      </c>
      <c r="RAJ19" s="175">
        <v>0.59</v>
      </c>
      <c r="RAK19" s="175">
        <v>0.58</v>
      </c>
      <c r="RAL19" s="175">
        <v>0.57</v>
      </c>
      <c r="RAM19" s="175">
        <v>0.55</v>
      </c>
      <c r="RAN19" s="175">
        <v>0.53</v>
      </c>
      <c r="RAO19" s="157" t="s">
        <v>67</v>
      </c>
      <c r="RAP19" s="157"/>
      <c r="RAQ19" s="157"/>
      <c r="RAR19" s="173">
        <v>0.62</v>
      </c>
      <c r="RAS19" s="173">
        <v>0.61</v>
      </c>
      <c r="RAT19" s="173">
        <v>0.61</v>
      </c>
      <c r="RAU19" s="173">
        <v>0.61</v>
      </c>
      <c r="RAV19" s="173">
        <v>0.6</v>
      </c>
      <c r="RAW19" s="174">
        <v>0.6</v>
      </c>
      <c r="RAX19" s="173">
        <v>0.6</v>
      </c>
      <c r="RAY19" s="174">
        <v>0.59</v>
      </c>
      <c r="RAZ19" s="175">
        <v>0.59</v>
      </c>
      <c r="RBA19" s="175">
        <v>0.58</v>
      </c>
      <c r="RBB19" s="175">
        <v>0.57</v>
      </c>
      <c r="RBC19" s="175">
        <v>0.55</v>
      </c>
      <c r="RBD19" s="175">
        <v>0.53</v>
      </c>
      <c r="RBE19" s="157" t="s">
        <v>67</v>
      </c>
      <c r="RBF19" s="157"/>
      <c r="RBG19" s="157"/>
      <c r="RBH19" s="173">
        <v>0.62</v>
      </c>
      <c r="RBI19" s="173">
        <v>0.61</v>
      </c>
      <c r="RBJ19" s="173">
        <v>0.61</v>
      </c>
      <c r="RBK19" s="173">
        <v>0.61</v>
      </c>
      <c r="RBL19" s="173">
        <v>0.6</v>
      </c>
      <c r="RBM19" s="174">
        <v>0.6</v>
      </c>
      <c r="RBN19" s="173">
        <v>0.6</v>
      </c>
      <c r="RBO19" s="174">
        <v>0.59</v>
      </c>
      <c r="RBP19" s="175">
        <v>0.59</v>
      </c>
      <c r="RBQ19" s="175">
        <v>0.58</v>
      </c>
      <c r="RBR19" s="175">
        <v>0.57</v>
      </c>
      <c r="RBS19" s="175">
        <v>0.55</v>
      </c>
      <c r="RBT19" s="175">
        <v>0.53</v>
      </c>
      <c r="RBU19" s="157" t="s">
        <v>67</v>
      </c>
      <c r="RBV19" s="157"/>
      <c r="RBW19" s="157"/>
      <c r="RBX19" s="173">
        <v>0.62</v>
      </c>
      <c r="RBY19" s="173">
        <v>0.61</v>
      </c>
      <c r="RBZ19" s="173">
        <v>0.61</v>
      </c>
      <c r="RCA19" s="173">
        <v>0.61</v>
      </c>
      <c r="RCB19" s="173">
        <v>0.6</v>
      </c>
      <c r="RCC19" s="174">
        <v>0.6</v>
      </c>
      <c r="RCD19" s="173">
        <v>0.6</v>
      </c>
      <c r="RCE19" s="174">
        <v>0.59</v>
      </c>
      <c r="RCF19" s="175">
        <v>0.59</v>
      </c>
      <c r="RCG19" s="175">
        <v>0.58</v>
      </c>
      <c r="RCH19" s="175">
        <v>0.57</v>
      </c>
      <c r="RCI19" s="175">
        <v>0.55</v>
      </c>
      <c r="RCJ19" s="175">
        <v>0.53</v>
      </c>
      <c r="RCK19" s="157" t="s">
        <v>67</v>
      </c>
      <c r="RCL19" s="157"/>
      <c r="RCM19" s="157"/>
      <c r="RCN19" s="173">
        <v>0.62</v>
      </c>
      <c r="RCO19" s="173">
        <v>0.61</v>
      </c>
      <c r="RCP19" s="173">
        <v>0.61</v>
      </c>
      <c r="RCQ19" s="173">
        <v>0.61</v>
      </c>
      <c r="RCR19" s="173">
        <v>0.6</v>
      </c>
      <c r="RCS19" s="174">
        <v>0.6</v>
      </c>
      <c r="RCT19" s="173">
        <v>0.6</v>
      </c>
      <c r="RCU19" s="174">
        <v>0.59</v>
      </c>
      <c r="RCV19" s="175">
        <v>0.59</v>
      </c>
      <c r="RCW19" s="175">
        <v>0.58</v>
      </c>
      <c r="RCX19" s="175">
        <v>0.57</v>
      </c>
      <c r="RCY19" s="175">
        <v>0.55</v>
      </c>
      <c r="RCZ19" s="175">
        <v>0.53</v>
      </c>
      <c r="RDA19" s="157" t="s">
        <v>67</v>
      </c>
      <c r="RDB19" s="157"/>
      <c r="RDC19" s="157"/>
      <c r="RDD19" s="173">
        <v>0.62</v>
      </c>
      <c r="RDE19" s="173">
        <v>0.61</v>
      </c>
      <c r="RDF19" s="173">
        <v>0.61</v>
      </c>
      <c r="RDG19" s="173">
        <v>0.61</v>
      </c>
      <c r="RDH19" s="173">
        <v>0.6</v>
      </c>
      <c r="RDI19" s="174">
        <v>0.6</v>
      </c>
      <c r="RDJ19" s="173">
        <v>0.6</v>
      </c>
      <c r="RDK19" s="174">
        <v>0.59</v>
      </c>
      <c r="RDL19" s="175">
        <v>0.59</v>
      </c>
      <c r="RDM19" s="175">
        <v>0.58</v>
      </c>
      <c r="RDN19" s="175">
        <v>0.57</v>
      </c>
      <c r="RDO19" s="175">
        <v>0.55</v>
      </c>
      <c r="RDP19" s="175">
        <v>0.53</v>
      </c>
      <c r="RDQ19" s="157" t="s">
        <v>67</v>
      </c>
      <c r="RDR19" s="157"/>
      <c r="RDS19" s="157"/>
      <c r="RDT19" s="173">
        <v>0.62</v>
      </c>
      <c r="RDU19" s="173">
        <v>0.61</v>
      </c>
      <c r="RDV19" s="173">
        <v>0.61</v>
      </c>
      <c r="RDW19" s="173">
        <v>0.61</v>
      </c>
      <c r="RDX19" s="173">
        <v>0.6</v>
      </c>
      <c r="RDY19" s="174">
        <v>0.6</v>
      </c>
      <c r="RDZ19" s="173">
        <v>0.6</v>
      </c>
      <c r="REA19" s="174">
        <v>0.59</v>
      </c>
      <c r="REB19" s="175">
        <v>0.59</v>
      </c>
      <c r="REC19" s="175">
        <v>0.58</v>
      </c>
      <c r="RED19" s="175">
        <v>0.57</v>
      </c>
      <c r="REE19" s="175">
        <v>0.55</v>
      </c>
      <c r="REF19" s="175">
        <v>0.53</v>
      </c>
      <c r="REG19" s="157" t="s">
        <v>67</v>
      </c>
      <c r="REH19" s="157"/>
      <c r="REI19" s="157"/>
      <c r="REJ19" s="173">
        <v>0.62</v>
      </c>
      <c r="REK19" s="173">
        <v>0.61</v>
      </c>
      <c r="REL19" s="173">
        <v>0.61</v>
      </c>
      <c r="REM19" s="173">
        <v>0.61</v>
      </c>
      <c r="REN19" s="173">
        <v>0.6</v>
      </c>
      <c r="REO19" s="174">
        <v>0.6</v>
      </c>
      <c r="REP19" s="173">
        <v>0.6</v>
      </c>
      <c r="REQ19" s="174">
        <v>0.59</v>
      </c>
      <c r="RER19" s="175">
        <v>0.59</v>
      </c>
      <c r="RES19" s="175">
        <v>0.58</v>
      </c>
      <c r="RET19" s="175">
        <v>0.57</v>
      </c>
      <c r="REU19" s="175">
        <v>0.55</v>
      </c>
      <c r="REV19" s="175">
        <v>0.53</v>
      </c>
      <c r="REW19" s="157" t="s">
        <v>67</v>
      </c>
      <c r="REX19" s="157"/>
      <c r="REY19" s="157"/>
      <c r="REZ19" s="173">
        <v>0.62</v>
      </c>
      <c r="RFA19" s="173">
        <v>0.61</v>
      </c>
      <c r="RFB19" s="173">
        <v>0.61</v>
      </c>
      <c r="RFC19" s="173">
        <v>0.61</v>
      </c>
      <c r="RFD19" s="173">
        <v>0.6</v>
      </c>
      <c r="RFE19" s="174">
        <v>0.6</v>
      </c>
      <c r="RFF19" s="173">
        <v>0.6</v>
      </c>
      <c r="RFG19" s="174">
        <v>0.59</v>
      </c>
      <c r="RFH19" s="175">
        <v>0.59</v>
      </c>
      <c r="RFI19" s="175">
        <v>0.58</v>
      </c>
      <c r="RFJ19" s="175">
        <v>0.57</v>
      </c>
      <c r="RFK19" s="175">
        <v>0.55</v>
      </c>
      <c r="RFL19" s="175">
        <v>0.53</v>
      </c>
      <c r="RFM19" s="157" t="s">
        <v>67</v>
      </c>
      <c r="RFN19" s="157"/>
      <c r="RFO19" s="157"/>
      <c r="RFP19" s="173">
        <v>0.62</v>
      </c>
      <c r="RFQ19" s="173">
        <v>0.61</v>
      </c>
      <c r="RFR19" s="173">
        <v>0.61</v>
      </c>
      <c r="RFS19" s="173">
        <v>0.61</v>
      </c>
      <c r="RFT19" s="173">
        <v>0.6</v>
      </c>
      <c r="RFU19" s="174">
        <v>0.6</v>
      </c>
      <c r="RFV19" s="173">
        <v>0.6</v>
      </c>
      <c r="RFW19" s="174">
        <v>0.59</v>
      </c>
      <c r="RFX19" s="175">
        <v>0.59</v>
      </c>
      <c r="RFY19" s="175">
        <v>0.58</v>
      </c>
      <c r="RFZ19" s="175">
        <v>0.57</v>
      </c>
      <c r="RGA19" s="175">
        <v>0.55</v>
      </c>
      <c r="RGB19" s="175">
        <v>0.53</v>
      </c>
      <c r="RGC19" s="157" t="s">
        <v>67</v>
      </c>
      <c r="RGD19" s="157"/>
      <c r="RGE19" s="157"/>
      <c r="RGF19" s="173">
        <v>0.62</v>
      </c>
      <c r="RGG19" s="173">
        <v>0.61</v>
      </c>
      <c r="RGH19" s="173">
        <v>0.61</v>
      </c>
      <c r="RGI19" s="173">
        <v>0.61</v>
      </c>
      <c r="RGJ19" s="173">
        <v>0.6</v>
      </c>
      <c r="RGK19" s="174">
        <v>0.6</v>
      </c>
      <c r="RGL19" s="173">
        <v>0.6</v>
      </c>
      <c r="RGM19" s="174">
        <v>0.59</v>
      </c>
      <c r="RGN19" s="175">
        <v>0.59</v>
      </c>
      <c r="RGO19" s="175">
        <v>0.58</v>
      </c>
      <c r="RGP19" s="175">
        <v>0.57</v>
      </c>
      <c r="RGQ19" s="175">
        <v>0.55</v>
      </c>
      <c r="RGR19" s="175">
        <v>0.53</v>
      </c>
      <c r="RGS19" s="157" t="s">
        <v>67</v>
      </c>
      <c r="RGT19" s="157"/>
      <c r="RGU19" s="157"/>
      <c r="RGV19" s="173">
        <v>0.62</v>
      </c>
      <c r="RGW19" s="173">
        <v>0.61</v>
      </c>
      <c r="RGX19" s="173">
        <v>0.61</v>
      </c>
      <c r="RGY19" s="173">
        <v>0.61</v>
      </c>
      <c r="RGZ19" s="173">
        <v>0.6</v>
      </c>
      <c r="RHA19" s="174">
        <v>0.6</v>
      </c>
      <c r="RHB19" s="173">
        <v>0.6</v>
      </c>
      <c r="RHC19" s="174">
        <v>0.59</v>
      </c>
      <c r="RHD19" s="175">
        <v>0.59</v>
      </c>
      <c r="RHE19" s="175">
        <v>0.58</v>
      </c>
      <c r="RHF19" s="175">
        <v>0.57</v>
      </c>
      <c r="RHG19" s="175">
        <v>0.55</v>
      </c>
      <c r="RHH19" s="175">
        <v>0.53</v>
      </c>
      <c r="RHI19" s="157" t="s">
        <v>67</v>
      </c>
      <c r="RHJ19" s="157"/>
      <c r="RHK19" s="157"/>
      <c r="RHL19" s="173">
        <v>0.62</v>
      </c>
      <c r="RHM19" s="173">
        <v>0.61</v>
      </c>
      <c r="RHN19" s="173">
        <v>0.61</v>
      </c>
      <c r="RHO19" s="173">
        <v>0.61</v>
      </c>
      <c r="RHP19" s="173">
        <v>0.6</v>
      </c>
      <c r="RHQ19" s="174">
        <v>0.6</v>
      </c>
      <c r="RHR19" s="173">
        <v>0.6</v>
      </c>
      <c r="RHS19" s="174">
        <v>0.59</v>
      </c>
      <c r="RHT19" s="175">
        <v>0.59</v>
      </c>
      <c r="RHU19" s="175">
        <v>0.58</v>
      </c>
      <c r="RHV19" s="175">
        <v>0.57</v>
      </c>
      <c r="RHW19" s="175">
        <v>0.55</v>
      </c>
      <c r="RHX19" s="175">
        <v>0.53</v>
      </c>
      <c r="RHY19" s="157" t="s">
        <v>67</v>
      </c>
      <c r="RHZ19" s="157"/>
      <c r="RIA19" s="157"/>
      <c r="RIB19" s="173">
        <v>0.62</v>
      </c>
      <c r="RIC19" s="173">
        <v>0.61</v>
      </c>
      <c r="RID19" s="173">
        <v>0.61</v>
      </c>
      <c r="RIE19" s="173">
        <v>0.61</v>
      </c>
      <c r="RIF19" s="173">
        <v>0.6</v>
      </c>
      <c r="RIG19" s="174">
        <v>0.6</v>
      </c>
      <c r="RIH19" s="173">
        <v>0.6</v>
      </c>
      <c r="RII19" s="174">
        <v>0.59</v>
      </c>
      <c r="RIJ19" s="175">
        <v>0.59</v>
      </c>
      <c r="RIK19" s="175">
        <v>0.58</v>
      </c>
      <c r="RIL19" s="175">
        <v>0.57</v>
      </c>
      <c r="RIM19" s="175">
        <v>0.55</v>
      </c>
      <c r="RIN19" s="175">
        <v>0.53</v>
      </c>
      <c r="RIO19" s="157" t="s">
        <v>67</v>
      </c>
      <c r="RIP19" s="157"/>
      <c r="RIQ19" s="157"/>
      <c r="RIR19" s="173">
        <v>0.62</v>
      </c>
      <c r="RIS19" s="173">
        <v>0.61</v>
      </c>
      <c r="RIT19" s="173">
        <v>0.61</v>
      </c>
      <c r="RIU19" s="173">
        <v>0.61</v>
      </c>
      <c r="RIV19" s="173">
        <v>0.6</v>
      </c>
      <c r="RIW19" s="174">
        <v>0.6</v>
      </c>
      <c r="RIX19" s="173">
        <v>0.6</v>
      </c>
      <c r="RIY19" s="174">
        <v>0.59</v>
      </c>
      <c r="RIZ19" s="175">
        <v>0.59</v>
      </c>
      <c r="RJA19" s="175">
        <v>0.58</v>
      </c>
      <c r="RJB19" s="175">
        <v>0.57</v>
      </c>
      <c r="RJC19" s="175">
        <v>0.55</v>
      </c>
      <c r="RJD19" s="175">
        <v>0.53</v>
      </c>
      <c r="RJE19" s="157" t="s">
        <v>67</v>
      </c>
      <c r="RJF19" s="157"/>
      <c r="RJG19" s="157"/>
      <c r="RJH19" s="173">
        <v>0.62</v>
      </c>
      <c r="RJI19" s="173">
        <v>0.61</v>
      </c>
      <c r="RJJ19" s="173">
        <v>0.61</v>
      </c>
      <c r="RJK19" s="173">
        <v>0.61</v>
      </c>
      <c r="RJL19" s="173">
        <v>0.6</v>
      </c>
      <c r="RJM19" s="174">
        <v>0.6</v>
      </c>
      <c r="RJN19" s="173">
        <v>0.6</v>
      </c>
      <c r="RJO19" s="174">
        <v>0.59</v>
      </c>
      <c r="RJP19" s="175">
        <v>0.59</v>
      </c>
      <c r="RJQ19" s="175">
        <v>0.58</v>
      </c>
      <c r="RJR19" s="175">
        <v>0.57</v>
      </c>
      <c r="RJS19" s="175">
        <v>0.55</v>
      </c>
      <c r="RJT19" s="175">
        <v>0.53</v>
      </c>
      <c r="RJU19" s="157" t="s">
        <v>67</v>
      </c>
      <c r="RJV19" s="157"/>
      <c r="RJW19" s="157"/>
      <c r="RJX19" s="173">
        <v>0.62</v>
      </c>
      <c r="RJY19" s="173">
        <v>0.61</v>
      </c>
      <c r="RJZ19" s="173">
        <v>0.61</v>
      </c>
      <c r="RKA19" s="173">
        <v>0.61</v>
      </c>
      <c r="RKB19" s="173">
        <v>0.6</v>
      </c>
      <c r="RKC19" s="174">
        <v>0.6</v>
      </c>
      <c r="RKD19" s="173">
        <v>0.6</v>
      </c>
      <c r="RKE19" s="174">
        <v>0.59</v>
      </c>
      <c r="RKF19" s="175">
        <v>0.59</v>
      </c>
      <c r="RKG19" s="175">
        <v>0.58</v>
      </c>
      <c r="RKH19" s="175">
        <v>0.57</v>
      </c>
      <c r="RKI19" s="175">
        <v>0.55</v>
      </c>
      <c r="RKJ19" s="175">
        <v>0.53</v>
      </c>
      <c r="RKK19" s="157" t="s">
        <v>67</v>
      </c>
      <c r="RKL19" s="157"/>
      <c r="RKM19" s="157"/>
      <c r="RKN19" s="173">
        <v>0.62</v>
      </c>
      <c r="RKO19" s="173">
        <v>0.61</v>
      </c>
      <c r="RKP19" s="173">
        <v>0.61</v>
      </c>
      <c r="RKQ19" s="173">
        <v>0.61</v>
      </c>
      <c r="RKR19" s="173">
        <v>0.6</v>
      </c>
      <c r="RKS19" s="174">
        <v>0.6</v>
      </c>
      <c r="RKT19" s="173">
        <v>0.6</v>
      </c>
      <c r="RKU19" s="174">
        <v>0.59</v>
      </c>
      <c r="RKV19" s="175">
        <v>0.59</v>
      </c>
      <c r="RKW19" s="175">
        <v>0.58</v>
      </c>
      <c r="RKX19" s="175">
        <v>0.57</v>
      </c>
      <c r="RKY19" s="175">
        <v>0.55</v>
      </c>
      <c r="RKZ19" s="175">
        <v>0.53</v>
      </c>
      <c r="RLA19" s="157" t="s">
        <v>67</v>
      </c>
      <c r="RLB19" s="157"/>
      <c r="RLC19" s="157"/>
      <c r="RLD19" s="173">
        <v>0.62</v>
      </c>
      <c r="RLE19" s="173">
        <v>0.61</v>
      </c>
      <c r="RLF19" s="173">
        <v>0.61</v>
      </c>
      <c r="RLG19" s="173">
        <v>0.61</v>
      </c>
      <c r="RLH19" s="173">
        <v>0.6</v>
      </c>
      <c r="RLI19" s="174">
        <v>0.6</v>
      </c>
      <c r="RLJ19" s="173">
        <v>0.6</v>
      </c>
      <c r="RLK19" s="174">
        <v>0.59</v>
      </c>
      <c r="RLL19" s="175">
        <v>0.59</v>
      </c>
      <c r="RLM19" s="175">
        <v>0.58</v>
      </c>
      <c r="RLN19" s="175">
        <v>0.57</v>
      </c>
      <c r="RLO19" s="175">
        <v>0.55</v>
      </c>
      <c r="RLP19" s="175">
        <v>0.53</v>
      </c>
      <c r="RLQ19" s="157" t="s">
        <v>67</v>
      </c>
      <c r="RLR19" s="157"/>
      <c r="RLS19" s="157"/>
      <c r="RLT19" s="173">
        <v>0.62</v>
      </c>
      <c r="RLU19" s="173">
        <v>0.61</v>
      </c>
      <c r="RLV19" s="173">
        <v>0.61</v>
      </c>
      <c r="RLW19" s="173">
        <v>0.61</v>
      </c>
      <c r="RLX19" s="173">
        <v>0.6</v>
      </c>
      <c r="RLY19" s="174">
        <v>0.6</v>
      </c>
      <c r="RLZ19" s="173">
        <v>0.6</v>
      </c>
      <c r="RMA19" s="174">
        <v>0.59</v>
      </c>
      <c r="RMB19" s="175">
        <v>0.59</v>
      </c>
      <c r="RMC19" s="175">
        <v>0.58</v>
      </c>
      <c r="RMD19" s="175">
        <v>0.57</v>
      </c>
      <c r="RME19" s="175">
        <v>0.55</v>
      </c>
      <c r="RMF19" s="175">
        <v>0.53</v>
      </c>
      <c r="RMG19" s="157" t="s">
        <v>67</v>
      </c>
      <c r="RMH19" s="157"/>
      <c r="RMI19" s="157"/>
      <c r="RMJ19" s="173">
        <v>0.62</v>
      </c>
      <c r="RMK19" s="173">
        <v>0.61</v>
      </c>
      <c r="RML19" s="173">
        <v>0.61</v>
      </c>
      <c r="RMM19" s="173">
        <v>0.61</v>
      </c>
      <c r="RMN19" s="173">
        <v>0.6</v>
      </c>
      <c r="RMO19" s="174">
        <v>0.6</v>
      </c>
      <c r="RMP19" s="173">
        <v>0.6</v>
      </c>
      <c r="RMQ19" s="174">
        <v>0.59</v>
      </c>
      <c r="RMR19" s="175">
        <v>0.59</v>
      </c>
      <c r="RMS19" s="175">
        <v>0.58</v>
      </c>
      <c r="RMT19" s="175">
        <v>0.57</v>
      </c>
      <c r="RMU19" s="175">
        <v>0.55</v>
      </c>
      <c r="RMV19" s="175">
        <v>0.53</v>
      </c>
      <c r="RMW19" s="157" t="s">
        <v>67</v>
      </c>
      <c r="RMX19" s="157"/>
      <c r="RMY19" s="157"/>
      <c r="RMZ19" s="173">
        <v>0.62</v>
      </c>
      <c r="RNA19" s="173">
        <v>0.61</v>
      </c>
      <c r="RNB19" s="173">
        <v>0.61</v>
      </c>
      <c r="RNC19" s="173">
        <v>0.61</v>
      </c>
      <c r="RND19" s="173">
        <v>0.6</v>
      </c>
      <c r="RNE19" s="174">
        <v>0.6</v>
      </c>
      <c r="RNF19" s="173">
        <v>0.6</v>
      </c>
      <c r="RNG19" s="174">
        <v>0.59</v>
      </c>
      <c r="RNH19" s="175">
        <v>0.59</v>
      </c>
      <c r="RNI19" s="175">
        <v>0.58</v>
      </c>
      <c r="RNJ19" s="175">
        <v>0.57</v>
      </c>
      <c r="RNK19" s="175">
        <v>0.55</v>
      </c>
      <c r="RNL19" s="175">
        <v>0.53</v>
      </c>
      <c r="RNM19" s="157" t="s">
        <v>67</v>
      </c>
      <c r="RNN19" s="157"/>
      <c r="RNO19" s="157"/>
      <c r="RNP19" s="173">
        <v>0.62</v>
      </c>
      <c r="RNQ19" s="173">
        <v>0.61</v>
      </c>
      <c r="RNR19" s="173">
        <v>0.61</v>
      </c>
      <c r="RNS19" s="173">
        <v>0.61</v>
      </c>
      <c r="RNT19" s="173">
        <v>0.6</v>
      </c>
      <c r="RNU19" s="174">
        <v>0.6</v>
      </c>
      <c r="RNV19" s="173">
        <v>0.6</v>
      </c>
      <c r="RNW19" s="174">
        <v>0.59</v>
      </c>
      <c r="RNX19" s="175">
        <v>0.59</v>
      </c>
      <c r="RNY19" s="175">
        <v>0.58</v>
      </c>
      <c r="RNZ19" s="175">
        <v>0.57</v>
      </c>
      <c r="ROA19" s="175">
        <v>0.55</v>
      </c>
      <c r="ROB19" s="175">
        <v>0.53</v>
      </c>
      <c r="ROC19" s="157" t="s">
        <v>67</v>
      </c>
      <c r="ROD19" s="157"/>
      <c r="ROE19" s="157"/>
      <c r="ROF19" s="173">
        <v>0.62</v>
      </c>
      <c r="ROG19" s="173">
        <v>0.61</v>
      </c>
      <c r="ROH19" s="173">
        <v>0.61</v>
      </c>
      <c r="ROI19" s="173">
        <v>0.61</v>
      </c>
      <c r="ROJ19" s="173">
        <v>0.6</v>
      </c>
      <c r="ROK19" s="174">
        <v>0.6</v>
      </c>
      <c r="ROL19" s="173">
        <v>0.6</v>
      </c>
      <c r="ROM19" s="174">
        <v>0.59</v>
      </c>
      <c r="RON19" s="175">
        <v>0.59</v>
      </c>
      <c r="ROO19" s="175">
        <v>0.58</v>
      </c>
      <c r="ROP19" s="175">
        <v>0.57</v>
      </c>
      <c r="ROQ19" s="175">
        <v>0.55</v>
      </c>
      <c r="ROR19" s="175">
        <v>0.53</v>
      </c>
      <c r="ROS19" s="157" t="s">
        <v>67</v>
      </c>
      <c r="ROT19" s="157"/>
      <c r="ROU19" s="157"/>
      <c r="ROV19" s="173">
        <v>0.62</v>
      </c>
      <c r="ROW19" s="173">
        <v>0.61</v>
      </c>
      <c r="ROX19" s="173">
        <v>0.61</v>
      </c>
      <c r="ROY19" s="173">
        <v>0.61</v>
      </c>
      <c r="ROZ19" s="173">
        <v>0.6</v>
      </c>
      <c r="RPA19" s="174">
        <v>0.6</v>
      </c>
      <c r="RPB19" s="173">
        <v>0.6</v>
      </c>
      <c r="RPC19" s="174">
        <v>0.59</v>
      </c>
      <c r="RPD19" s="175">
        <v>0.59</v>
      </c>
      <c r="RPE19" s="175">
        <v>0.58</v>
      </c>
      <c r="RPF19" s="175">
        <v>0.57</v>
      </c>
      <c r="RPG19" s="175">
        <v>0.55</v>
      </c>
      <c r="RPH19" s="175">
        <v>0.53</v>
      </c>
      <c r="RPI19" s="157" t="s">
        <v>67</v>
      </c>
      <c r="RPJ19" s="157"/>
      <c r="RPK19" s="157"/>
      <c r="RPL19" s="173">
        <v>0.62</v>
      </c>
      <c r="RPM19" s="173">
        <v>0.61</v>
      </c>
      <c r="RPN19" s="173">
        <v>0.61</v>
      </c>
      <c r="RPO19" s="173">
        <v>0.61</v>
      </c>
      <c r="RPP19" s="173">
        <v>0.6</v>
      </c>
      <c r="RPQ19" s="174">
        <v>0.6</v>
      </c>
      <c r="RPR19" s="173">
        <v>0.6</v>
      </c>
      <c r="RPS19" s="174">
        <v>0.59</v>
      </c>
      <c r="RPT19" s="175">
        <v>0.59</v>
      </c>
      <c r="RPU19" s="175">
        <v>0.58</v>
      </c>
      <c r="RPV19" s="175">
        <v>0.57</v>
      </c>
      <c r="RPW19" s="175">
        <v>0.55</v>
      </c>
      <c r="RPX19" s="175">
        <v>0.53</v>
      </c>
      <c r="RPY19" s="157" t="s">
        <v>67</v>
      </c>
      <c r="RPZ19" s="157"/>
      <c r="RQA19" s="157"/>
      <c r="RQB19" s="173">
        <v>0.62</v>
      </c>
      <c r="RQC19" s="173">
        <v>0.61</v>
      </c>
      <c r="RQD19" s="173">
        <v>0.61</v>
      </c>
      <c r="RQE19" s="173">
        <v>0.61</v>
      </c>
      <c r="RQF19" s="173">
        <v>0.6</v>
      </c>
      <c r="RQG19" s="174">
        <v>0.6</v>
      </c>
      <c r="RQH19" s="173">
        <v>0.6</v>
      </c>
      <c r="RQI19" s="174">
        <v>0.59</v>
      </c>
      <c r="RQJ19" s="175">
        <v>0.59</v>
      </c>
      <c r="RQK19" s="175">
        <v>0.58</v>
      </c>
      <c r="RQL19" s="175">
        <v>0.57</v>
      </c>
      <c r="RQM19" s="175">
        <v>0.55</v>
      </c>
      <c r="RQN19" s="175">
        <v>0.53</v>
      </c>
      <c r="RQO19" s="157" t="s">
        <v>67</v>
      </c>
      <c r="RQP19" s="157"/>
      <c r="RQQ19" s="157"/>
      <c r="RQR19" s="173">
        <v>0.62</v>
      </c>
      <c r="RQS19" s="173">
        <v>0.61</v>
      </c>
      <c r="RQT19" s="173">
        <v>0.61</v>
      </c>
      <c r="RQU19" s="173">
        <v>0.61</v>
      </c>
      <c r="RQV19" s="173">
        <v>0.6</v>
      </c>
      <c r="RQW19" s="174">
        <v>0.6</v>
      </c>
      <c r="RQX19" s="173">
        <v>0.6</v>
      </c>
      <c r="RQY19" s="174">
        <v>0.59</v>
      </c>
      <c r="RQZ19" s="175">
        <v>0.59</v>
      </c>
      <c r="RRA19" s="175">
        <v>0.58</v>
      </c>
      <c r="RRB19" s="175">
        <v>0.57</v>
      </c>
      <c r="RRC19" s="175">
        <v>0.55</v>
      </c>
      <c r="RRD19" s="175">
        <v>0.53</v>
      </c>
      <c r="RRE19" s="157" t="s">
        <v>67</v>
      </c>
      <c r="RRF19" s="157"/>
      <c r="RRG19" s="157"/>
      <c r="RRH19" s="173">
        <v>0.62</v>
      </c>
      <c r="RRI19" s="173">
        <v>0.61</v>
      </c>
      <c r="RRJ19" s="173">
        <v>0.61</v>
      </c>
      <c r="RRK19" s="173">
        <v>0.61</v>
      </c>
      <c r="RRL19" s="173">
        <v>0.6</v>
      </c>
      <c r="RRM19" s="174">
        <v>0.6</v>
      </c>
      <c r="RRN19" s="173">
        <v>0.6</v>
      </c>
      <c r="RRO19" s="174">
        <v>0.59</v>
      </c>
      <c r="RRP19" s="175">
        <v>0.59</v>
      </c>
      <c r="RRQ19" s="175">
        <v>0.58</v>
      </c>
      <c r="RRR19" s="175">
        <v>0.57</v>
      </c>
      <c r="RRS19" s="175">
        <v>0.55</v>
      </c>
      <c r="RRT19" s="175">
        <v>0.53</v>
      </c>
      <c r="RRU19" s="157" t="s">
        <v>67</v>
      </c>
      <c r="RRV19" s="157"/>
      <c r="RRW19" s="157"/>
      <c r="RRX19" s="173">
        <v>0.62</v>
      </c>
      <c r="RRY19" s="173">
        <v>0.61</v>
      </c>
      <c r="RRZ19" s="173">
        <v>0.61</v>
      </c>
      <c r="RSA19" s="173">
        <v>0.61</v>
      </c>
      <c r="RSB19" s="173">
        <v>0.6</v>
      </c>
      <c r="RSC19" s="174">
        <v>0.6</v>
      </c>
      <c r="RSD19" s="173">
        <v>0.6</v>
      </c>
      <c r="RSE19" s="174">
        <v>0.59</v>
      </c>
      <c r="RSF19" s="175">
        <v>0.59</v>
      </c>
      <c r="RSG19" s="175">
        <v>0.58</v>
      </c>
      <c r="RSH19" s="175">
        <v>0.57</v>
      </c>
      <c r="RSI19" s="175">
        <v>0.55</v>
      </c>
      <c r="RSJ19" s="175">
        <v>0.53</v>
      </c>
      <c r="RSK19" s="157" t="s">
        <v>67</v>
      </c>
      <c r="RSL19" s="157"/>
      <c r="RSM19" s="157"/>
      <c r="RSN19" s="173">
        <v>0.62</v>
      </c>
      <c r="RSO19" s="173">
        <v>0.61</v>
      </c>
      <c r="RSP19" s="173">
        <v>0.61</v>
      </c>
      <c r="RSQ19" s="173">
        <v>0.61</v>
      </c>
      <c r="RSR19" s="173">
        <v>0.6</v>
      </c>
      <c r="RSS19" s="174">
        <v>0.6</v>
      </c>
      <c r="RST19" s="173">
        <v>0.6</v>
      </c>
      <c r="RSU19" s="174">
        <v>0.59</v>
      </c>
      <c r="RSV19" s="175">
        <v>0.59</v>
      </c>
      <c r="RSW19" s="175">
        <v>0.58</v>
      </c>
      <c r="RSX19" s="175">
        <v>0.57</v>
      </c>
      <c r="RSY19" s="175">
        <v>0.55</v>
      </c>
      <c r="RSZ19" s="175">
        <v>0.53</v>
      </c>
      <c r="RTA19" s="157" t="s">
        <v>67</v>
      </c>
      <c r="RTB19" s="157"/>
      <c r="RTC19" s="157"/>
      <c r="RTD19" s="173">
        <v>0.62</v>
      </c>
      <c r="RTE19" s="173">
        <v>0.61</v>
      </c>
      <c r="RTF19" s="173">
        <v>0.61</v>
      </c>
      <c r="RTG19" s="173">
        <v>0.61</v>
      </c>
      <c r="RTH19" s="173">
        <v>0.6</v>
      </c>
      <c r="RTI19" s="174">
        <v>0.6</v>
      </c>
      <c r="RTJ19" s="173">
        <v>0.6</v>
      </c>
      <c r="RTK19" s="174">
        <v>0.59</v>
      </c>
      <c r="RTL19" s="175">
        <v>0.59</v>
      </c>
      <c r="RTM19" s="175">
        <v>0.58</v>
      </c>
      <c r="RTN19" s="175">
        <v>0.57</v>
      </c>
      <c r="RTO19" s="175">
        <v>0.55</v>
      </c>
      <c r="RTP19" s="175">
        <v>0.53</v>
      </c>
      <c r="RTQ19" s="157" t="s">
        <v>67</v>
      </c>
      <c r="RTR19" s="157"/>
      <c r="RTS19" s="157"/>
      <c r="RTT19" s="173">
        <v>0.62</v>
      </c>
      <c r="RTU19" s="173">
        <v>0.61</v>
      </c>
      <c r="RTV19" s="173">
        <v>0.61</v>
      </c>
      <c r="RTW19" s="173">
        <v>0.61</v>
      </c>
      <c r="RTX19" s="173">
        <v>0.6</v>
      </c>
      <c r="RTY19" s="174">
        <v>0.6</v>
      </c>
      <c r="RTZ19" s="173">
        <v>0.6</v>
      </c>
      <c r="RUA19" s="174">
        <v>0.59</v>
      </c>
      <c r="RUB19" s="175">
        <v>0.59</v>
      </c>
      <c r="RUC19" s="175">
        <v>0.58</v>
      </c>
      <c r="RUD19" s="175">
        <v>0.57</v>
      </c>
      <c r="RUE19" s="175">
        <v>0.55</v>
      </c>
      <c r="RUF19" s="175">
        <v>0.53</v>
      </c>
      <c r="RUG19" s="157" t="s">
        <v>67</v>
      </c>
      <c r="RUH19" s="157"/>
      <c r="RUI19" s="157"/>
      <c r="RUJ19" s="173">
        <v>0.62</v>
      </c>
      <c r="RUK19" s="173">
        <v>0.61</v>
      </c>
      <c r="RUL19" s="173">
        <v>0.61</v>
      </c>
      <c r="RUM19" s="173">
        <v>0.61</v>
      </c>
      <c r="RUN19" s="173">
        <v>0.6</v>
      </c>
      <c r="RUO19" s="174">
        <v>0.6</v>
      </c>
      <c r="RUP19" s="173">
        <v>0.6</v>
      </c>
      <c r="RUQ19" s="174">
        <v>0.59</v>
      </c>
      <c r="RUR19" s="175">
        <v>0.59</v>
      </c>
      <c r="RUS19" s="175">
        <v>0.58</v>
      </c>
      <c r="RUT19" s="175">
        <v>0.57</v>
      </c>
      <c r="RUU19" s="175">
        <v>0.55</v>
      </c>
      <c r="RUV19" s="175">
        <v>0.53</v>
      </c>
      <c r="RUW19" s="157" t="s">
        <v>67</v>
      </c>
      <c r="RUX19" s="157"/>
      <c r="RUY19" s="157"/>
      <c r="RUZ19" s="173">
        <v>0.62</v>
      </c>
      <c r="RVA19" s="173">
        <v>0.61</v>
      </c>
      <c r="RVB19" s="173">
        <v>0.61</v>
      </c>
      <c r="RVC19" s="173">
        <v>0.61</v>
      </c>
      <c r="RVD19" s="173">
        <v>0.6</v>
      </c>
      <c r="RVE19" s="174">
        <v>0.6</v>
      </c>
      <c r="RVF19" s="173">
        <v>0.6</v>
      </c>
      <c r="RVG19" s="174">
        <v>0.59</v>
      </c>
      <c r="RVH19" s="175">
        <v>0.59</v>
      </c>
      <c r="RVI19" s="175">
        <v>0.58</v>
      </c>
      <c r="RVJ19" s="175">
        <v>0.57</v>
      </c>
      <c r="RVK19" s="175">
        <v>0.55</v>
      </c>
      <c r="RVL19" s="175">
        <v>0.53</v>
      </c>
      <c r="RVM19" s="157" t="s">
        <v>67</v>
      </c>
      <c r="RVN19" s="157"/>
      <c r="RVO19" s="157"/>
      <c r="RVP19" s="173">
        <v>0.62</v>
      </c>
      <c r="RVQ19" s="173">
        <v>0.61</v>
      </c>
      <c r="RVR19" s="173">
        <v>0.61</v>
      </c>
      <c r="RVS19" s="173">
        <v>0.61</v>
      </c>
      <c r="RVT19" s="173">
        <v>0.6</v>
      </c>
      <c r="RVU19" s="174">
        <v>0.6</v>
      </c>
      <c r="RVV19" s="173">
        <v>0.6</v>
      </c>
      <c r="RVW19" s="174">
        <v>0.59</v>
      </c>
      <c r="RVX19" s="175">
        <v>0.59</v>
      </c>
      <c r="RVY19" s="175">
        <v>0.58</v>
      </c>
      <c r="RVZ19" s="175">
        <v>0.57</v>
      </c>
      <c r="RWA19" s="175">
        <v>0.55</v>
      </c>
      <c r="RWB19" s="175">
        <v>0.53</v>
      </c>
      <c r="RWC19" s="157" t="s">
        <v>67</v>
      </c>
      <c r="RWD19" s="157"/>
      <c r="RWE19" s="157"/>
      <c r="RWF19" s="173">
        <v>0.62</v>
      </c>
      <c r="RWG19" s="173">
        <v>0.61</v>
      </c>
      <c r="RWH19" s="173">
        <v>0.61</v>
      </c>
      <c r="RWI19" s="173">
        <v>0.61</v>
      </c>
      <c r="RWJ19" s="173">
        <v>0.6</v>
      </c>
      <c r="RWK19" s="174">
        <v>0.6</v>
      </c>
      <c r="RWL19" s="173">
        <v>0.6</v>
      </c>
      <c r="RWM19" s="174">
        <v>0.59</v>
      </c>
      <c r="RWN19" s="175">
        <v>0.59</v>
      </c>
      <c r="RWO19" s="175">
        <v>0.58</v>
      </c>
      <c r="RWP19" s="175">
        <v>0.57</v>
      </c>
      <c r="RWQ19" s="175">
        <v>0.55</v>
      </c>
      <c r="RWR19" s="175">
        <v>0.53</v>
      </c>
      <c r="RWS19" s="157" t="s">
        <v>67</v>
      </c>
      <c r="RWT19" s="157"/>
      <c r="RWU19" s="157"/>
      <c r="RWV19" s="173">
        <v>0.62</v>
      </c>
      <c r="RWW19" s="173">
        <v>0.61</v>
      </c>
      <c r="RWX19" s="173">
        <v>0.61</v>
      </c>
      <c r="RWY19" s="173">
        <v>0.61</v>
      </c>
      <c r="RWZ19" s="173">
        <v>0.6</v>
      </c>
      <c r="RXA19" s="174">
        <v>0.6</v>
      </c>
      <c r="RXB19" s="173">
        <v>0.6</v>
      </c>
      <c r="RXC19" s="174">
        <v>0.59</v>
      </c>
      <c r="RXD19" s="175">
        <v>0.59</v>
      </c>
      <c r="RXE19" s="175">
        <v>0.58</v>
      </c>
      <c r="RXF19" s="175">
        <v>0.57</v>
      </c>
      <c r="RXG19" s="175">
        <v>0.55</v>
      </c>
      <c r="RXH19" s="175">
        <v>0.53</v>
      </c>
      <c r="RXI19" s="157" t="s">
        <v>67</v>
      </c>
      <c r="RXJ19" s="157"/>
      <c r="RXK19" s="157"/>
      <c r="RXL19" s="173">
        <v>0.62</v>
      </c>
      <c r="RXM19" s="173">
        <v>0.61</v>
      </c>
      <c r="RXN19" s="173">
        <v>0.61</v>
      </c>
      <c r="RXO19" s="173">
        <v>0.61</v>
      </c>
      <c r="RXP19" s="173">
        <v>0.6</v>
      </c>
      <c r="RXQ19" s="174">
        <v>0.6</v>
      </c>
      <c r="RXR19" s="173">
        <v>0.6</v>
      </c>
      <c r="RXS19" s="174">
        <v>0.59</v>
      </c>
      <c r="RXT19" s="175">
        <v>0.59</v>
      </c>
      <c r="RXU19" s="175">
        <v>0.58</v>
      </c>
      <c r="RXV19" s="175">
        <v>0.57</v>
      </c>
      <c r="RXW19" s="175">
        <v>0.55</v>
      </c>
      <c r="RXX19" s="175">
        <v>0.53</v>
      </c>
      <c r="RXY19" s="157" t="s">
        <v>67</v>
      </c>
      <c r="RXZ19" s="157"/>
      <c r="RYA19" s="157"/>
      <c r="RYB19" s="173">
        <v>0.62</v>
      </c>
      <c r="RYC19" s="173">
        <v>0.61</v>
      </c>
      <c r="RYD19" s="173">
        <v>0.61</v>
      </c>
      <c r="RYE19" s="173">
        <v>0.61</v>
      </c>
      <c r="RYF19" s="173">
        <v>0.6</v>
      </c>
      <c r="RYG19" s="174">
        <v>0.6</v>
      </c>
      <c r="RYH19" s="173">
        <v>0.6</v>
      </c>
      <c r="RYI19" s="174">
        <v>0.59</v>
      </c>
      <c r="RYJ19" s="175">
        <v>0.59</v>
      </c>
      <c r="RYK19" s="175">
        <v>0.58</v>
      </c>
      <c r="RYL19" s="175">
        <v>0.57</v>
      </c>
      <c r="RYM19" s="175">
        <v>0.55</v>
      </c>
      <c r="RYN19" s="175">
        <v>0.53</v>
      </c>
      <c r="RYO19" s="157" t="s">
        <v>67</v>
      </c>
      <c r="RYP19" s="157"/>
      <c r="RYQ19" s="157"/>
      <c r="RYR19" s="173">
        <v>0.62</v>
      </c>
      <c r="RYS19" s="173">
        <v>0.61</v>
      </c>
      <c r="RYT19" s="173">
        <v>0.61</v>
      </c>
      <c r="RYU19" s="173">
        <v>0.61</v>
      </c>
      <c r="RYV19" s="173">
        <v>0.6</v>
      </c>
      <c r="RYW19" s="174">
        <v>0.6</v>
      </c>
      <c r="RYX19" s="173">
        <v>0.6</v>
      </c>
      <c r="RYY19" s="174">
        <v>0.59</v>
      </c>
      <c r="RYZ19" s="175">
        <v>0.59</v>
      </c>
      <c r="RZA19" s="175">
        <v>0.58</v>
      </c>
      <c r="RZB19" s="175">
        <v>0.57</v>
      </c>
      <c r="RZC19" s="175">
        <v>0.55</v>
      </c>
      <c r="RZD19" s="175">
        <v>0.53</v>
      </c>
      <c r="RZE19" s="157" t="s">
        <v>67</v>
      </c>
      <c r="RZF19" s="157"/>
      <c r="RZG19" s="157"/>
      <c r="RZH19" s="173">
        <v>0.62</v>
      </c>
      <c r="RZI19" s="173">
        <v>0.61</v>
      </c>
      <c r="RZJ19" s="173">
        <v>0.61</v>
      </c>
      <c r="RZK19" s="173">
        <v>0.61</v>
      </c>
      <c r="RZL19" s="173">
        <v>0.6</v>
      </c>
      <c r="RZM19" s="174">
        <v>0.6</v>
      </c>
      <c r="RZN19" s="173">
        <v>0.6</v>
      </c>
      <c r="RZO19" s="174">
        <v>0.59</v>
      </c>
      <c r="RZP19" s="175">
        <v>0.59</v>
      </c>
      <c r="RZQ19" s="175">
        <v>0.58</v>
      </c>
      <c r="RZR19" s="175">
        <v>0.57</v>
      </c>
      <c r="RZS19" s="175">
        <v>0.55</v>
      </c>
      <c r="RZT19" s="175">
        <v>0.53</v>
      </c>
      <c r="RZU19" s="157" t="s">
        <v>67</v>
      </c>
      <c r="RZV19" s="157"/>
      <c r="RZW19" s="157"/>
      <c r="RZX19" s="173">
        <v>0.62</v>
      </c>
      <c r="RZY19" s="173">
        <v>0.61</v>
      </c>
      <c r="RZZ19" s="173">
        <v>0.61</v>
      </c>
      <c r="SAA19" s="173">
        <v>0.61</v>
      </c>
      <c r="SAB19" s="173">
        <v>0.6</v>
      </c>
      <c r="SAC19" s="174">
        <v>0.6</v>
      </c>
      <c r="SAD19" s="173">
        <v>0.6</v>
      </c>
      <c r="SAE19" s="174">
        <v>0.59</v>
      </c>
      <c r="SAF19" s="175">
        <v>0.59</v>
      </c>
      <c r="SAG19" s="175">
        <v>0.58</v>
      </c>
      <c r="SAH19" s="175">
        <v>0.57</v>
      </c>
      <c r="SAI19" s="175">
        <v>0.55</v>
      </c>
      <c r="SAJ19" s="175">
        <v>0.53</v>
      </c>
      <c r="SAK19" s="157" t="s">
        <v>67</v>
      </c>
      <c r="SAL19" s="157"/>
      <c r="SAM19" s="157"/>
      <c r="SAN19" s="173">
        <v>0.62</v>
      </c>
      <c r="SAO19" s="173">
        <v>0.61</v>
      </c>
      <c r="SAP19" s="173">
        <v>0.61</v>
      </c>
      <c r="SAQ19" s="173">
        <v>0.61</v>
      </c>
      <c r="SAR19" s="173">
        <v>0.6</v>
      </c>
      <c r="SAS19" s="174">
        <v>0.6</v>
      </c>
      <c r="SAT19" s="173">
        <v>0.6</v>
      </c>
      <c r="SAU19" s="174">
        <v>0.59</v>
      </c>
      <c r="SAV19" s="175">
        <v>0.59</v>
      </c>
      <c r="SAW19" s="175">
        <v>0.58</v>
      </c>
      <c r="SAX19" s="175">
        <v>0.57</v>
      </c>
      <c r="SAY19" s="175">
        <v>0.55</v>
      </c>
      <c r="SAZ19" s="175">
        <v>0.53</v>
      </c>
      <c r="SBA19" s="157" t="s">
        <v>67</v>
      </c>
      <c r="SBB19" s="157"/>
      <c r="SBC19" s="157"/>
      <c r="SBD19" s="173">
        <v>0.62</v>
      </c>
      <c r="SBE19" s="173">
        <v>0.61</v>
      </c>
      <c r="SBF19" s="173">
        <v>0.61</v>
      </c>
      <c r="SBG19" s="173">
        <v>0.61</v>
      </c>
      <c r="SBH19" s="173">
        <v>0.6</v>
      </c>
      <c r="SBI19" s="174">
        <v>0.6</v>
      </c>
      <c r="SBJ19" s="173">
        <v>0.6</v>
      </c>
      <c r="SBK19" s="174">
        <v>0.59</v>
      </c>
      <c r="SBL19" s="175">
        <v>0.59</v>
      </c>
      <c r="SBM19" s="175">
        <v>0.58</v>
      </c>
      <c r="SBN19" s="175">
        <v>0.57</v>
      </c>
      <c r="SBO19" s="175">
        <v>0.55</v>
      </c>
      <c r="SBP19" s="175">
        <v>0.53</v>
      </c>
      <c r="SBQ19" s="157" t="s">
        <v>67</v>
      </c>
      <c r="SBR19" s="157"/>
      <c r="SBS19" s="157"/>
      <c r="SBT19" s="173">
        <v>0.62</v>
      </c>
      <c r="SBU19" s="173">
        <v>0.61</v>
      </c>
      <c r="SBV19" s="173">
        <v>0.61</v>
      </c>
      <c r="SBW19" s="173">
        <v>0.61</v>
      </c>
      <c r="SBX19" s="173">
        <v>0.6</v>
      </c>
      <c r="SBY19" s="174">
        <v>0.6</v>
      </c>
      <c r="SBZ19" s="173">
        <v>0.6</v>
      </c>
      <c r="SCA19" s="174">
        <v>0.59</v>
      </c>
      <c r="SCB19" s="175">
        <v>0.59</v>
      </c>
      <c r="SCC19" s="175">
        <v>0.58</v>
      </c>
      <c r="SCD19" s="175">
        <v>0.57</v>
      </c>
      <c r="SCE19" s="175">
        <v>0.55</v>
      </c>
      <c r="SCF19" s="175">
        <v>0.53</v>
      </c>
      <c r="SCG19" s="157" t="s">
        <v>67</v>
      </c>
      <c r="SCH19" s="157"/>
      <c r="SCI19" s="157"/>
      <c r="SCJ19" s="173">
        <v>0.62</v>
      </c>
      <c r="SCK19" s="173">
        <v>0.61</v>
      </c>
      <c r="SCL19" s="173">
        <v>0.61</v>
      </c>
      <c r="SCM19" s="173">
        <v>0.61</v>
      </c>
      <c r="SCN19" s="173">
        <v>0.6</v>
      </c>
      <c r="SCO19" s="174">
        <v>0.6</v>
      </c>
      <c r="SCP19" s="173">
        <v>0.6</v>
      </c>
      <c r="SCQ19" s="174">
        <v>0.59</v>
      </c>
      <c r="SCR19" s="175">
        <v>0.59</v>
      </c>
      <c r="SCS19" s="175">
        <v>0.58</v>
      </c>
      <c r="SCT19" s="175">
        <v>0.57</v>
      </c>
      <c r="SCU19" s="175">
        <v>0.55</v>
      </c>
      <c r="SCV19" s="175">
        <v>0.53</v>
      </c>
      <c r="SCW19" s="157" t="s">
        <v>67</v>
      </c>
      <c r="SCX19" s="157"/>
      <c r="SCY19" s="157"/>
      <c r="SCZ19" s="173">
        <v>0.62</v>
      </c>
      <c r="SDA19" s="173">
        <v>0.61</v>
      </c>
      <c r="SDB19" s="173">
        <v>0.61</v>
      </c>
      <c r="SDC19" s="173">
        <v>0.61</v>
      </c>
      <c r="SDD19" s="173">
        <v>0.6</v>
      </c>
      <c r="SDE19" s="174">
        <v>0.6</v>
      </c>
      <c r="SDF19" s="173">
        <v>0.6</v>
      </c>
      <c r="SDG19" s="174">
        <v>0.59</v>
      </c>
      <c r="SDH19" s="175">
        <v>0.59</v>
      </c>
      <c r="SDI19" s="175">
        <v>0.58</v>
      </c>
      <c r="SDJ19" s="175">
        <v>0.57</v>
      </c>
      <c r="SDK19" s="175">
        <v>0.55</v>
      </c>
      <c r="SDL19" s="175">
        <v>0.53</v>
      </c>
      <c r="SDM19" s="157" t="s">
        <v>67</v>
      </c>
      <c r="SDN19" s="157"/>
      <c r="SDO19" s="157"/>
      <c r="SDP19" s="173">
        <v>0.62</v>
      </c>
      <c r="SDQ19" s="173">
        <v>0.61</v>
      </c>
      <c r="SDR19" s="173">
        <v>0.61</v>
      </c>
      <c r="SDS19" s="173">
        <v>0.61</v>
      </c>
      <c r="SDT19" s="173">
        <v>0.6</v>
      </c>
      <c r="SDU19" s="174">
        <v>0.6</v>
      </c>
      <c r="SDV19" s="173">
        <v>0.6</v>
      </c>
      <c r="SDW19" s="174">
        <v>0.59</v>
      </c>
      <c r="SDX19" s="175">
        <v>0.59</v>
      </c>
      <c r="SDY19" s="175">
        <v>0.58</v>
      </c>
      <c r="SDZ19" s="175">
        <v>0.57</v>
      </c>
      <c r="SEA19" s="175">
        <v>0.55</v>
      </c>
      <c r="SEB19" s="175">
        <v>0.53</v>
      </c>
      <c r="SEC19" s="157" t="s">
        <v>67</v>
      </c>
      <c r="SED19" s="157"/>
      <c r="SEE19" s="157"/>
      <c r="SEF19" s="173">
        <v>0.62</v>
      </c>
      <c r="SEG19" s="173">
        <v>0.61</v>
      </c>
      <c r="SEH19" s="173">
        <v>0.61</v>
      </c>
      <c r="SEI19" s="173">
        <v>0.61</v>
      </c>
      <c r="SEJ19" s="173">
        <v>0.6</v>
      </c>
      <c r="SEK19" s="174">
        <v>0.6</v>
      </c>
      <c r="SEL19" s="173">
        <v>0.6</v>
      </c>
      <c r="SEM19" s="174">
        <v>0.59</v>
      </c>
      <c r="SEN19" s="175">
        <v>0.59</v>
      </c>
      <c r="SEO19" s="175">
        <v>0.58</v>
      </c>
      <c r="SEP19" s="175">
        <v>0.57</v>
      </c>
      <c r="SEQ19" s="175">
        <v>0.55</v>
      </c>
      <c r="SER19" s="175">
        <v>0.53</v>
      </c>
      <c r="SES19" s="157" t="s">
        <v>67</v>
      </c>
      <c r="SET19" s="157"/>
      <c r="SEU19" s="157"/>
      <c r="SEV19" s="173">
        <v>0.62</v>
      </c>
      <c r="SEW19" s="173">
        <v>0.61</v>
      </c>
      <c r="SEX19" s="173">
        <v>0.61</v>
      </c>
      <c r="SEY19" s="173">
        <v>0.61</v>
      </c>
      <c r="SEZ19" s="173">
        <v>0.6</v>
      </c>
      <c r="SFA19" s="174">
        <v>0.6</v>
      </c>
      <c r="SFB19" s="173">
        <v>0.6</v>
      </c>
      <c r="SFC19" s="174">
        <v>0.59</v>
      </c>
      <c r="SFD19" s="175">
        <v>0.59</v>
      </c>
      <c r="SFE19" s="175">
        <v>0.58</v>
      </c>
      <c r="SFF19" s="175">
        <v>0.57</v>
      </c>
      <c r="SFG19" s="175">
        <v>0.55</v>
      </c>
      <c r="SFH19" s="175">
        <v>0.53</v>
      </c>
      <c r="SFI19" s="157" t="s">
        <v>67</v>
      </c>
      <c r="SFJ19" s="157"/>
      <c r="SFK19" s="157"/>
      <c r="SFL19" s="173">
        <v>0.62</v>
      </c>
      <c r="SFM19" s="173">
        <v>0.61</v>
      </c>
      <c r="SFN19" s="173">
        <v>0.61</v>
      </c>
      <c r="SFO19" s="173">
        <v>0.61</v>
      </c>
      <c r="SFP19" s="173">
        <v>0.6</v>
      </c>
      <c r="SFQ19" s="174">
        <v>0.6</v>
      </c>
      <c r="SFR19" s="173">
        <v>0.6</v>
      </c>
      <c r="SFS19" s="174">
        <v>0.59</v>
      </c>
      <c r="SFT19" s="175">
        <v>0.59</v>
      </c>
      <c r="SFU19" s="175">
        <v>0.58</v>
      </c>
      <c r="SFV19" s="175">
        <v>0.57</v>
      </c>
      <c r="SFW19" s="175">
        <v>0.55</v>
      </c>
      <c r="SFX19" s="175">
        <v>0.53</v>
      </c>
      <c r="SFY19" s="157" t="s">
        <v>67</v>
      </c>
      <c r="SFZ19" s="157"/>
      <c r="SGA19" s="157"/>
      <c r="SGB19" s="173">
        <v>0.62</v>
      </c>
      <c r="SGC19" s="173">
        <v>0.61</v>
      </c>
      <c r="SGD19" s="173">
        <v>0.61</v>
      </c>
      <c r="SGE19" s="173">
        <v>0.61</v>
      </c>
      <c r="SGF19" s="173">
        <v>0.6</v>
      </c>
      <c r="SGG19" s="174">
        <v>0.6</v>
      </c>
      <c r="SGH19" s="173">
        <v>0.6</v>
      </c>
      <c r="SGI19" s="174">
        <v>0.59</v>
      </c>
      <c r="SGJ19" s="175">
        <v>0.59</v>
      </c>
      <c r="SGK19" s="175">
        <v>0.58</v>
      </c>
      <c r="SGL19" s="175">
        <v>0.57</v>
      </c>
      <c r="SGM19" s="175">
        <v>0.55</v>
      </c>
      <c r="SGN19" s="175">
        <v>0.53</v>
      </c>
      <c r="SGO19" s="157" t="s">
        <v>67</v>
      </c>
      <c r="SGP19" s="157"/>
      <c r="SGQ19" s="157"/>
      <c r="SGR19" s="173">
        <v>0.62</v>
      </c>
      <c r="SGS19" s="173">
        <v>0.61</v>
      </c>
      <c r="SGT19" s="173">
        <v>0.61</v>
      </c>
      <c r="SGU19" s="173">
        <v>0.61</v>
      </c>
      <c r="SGV19" s="173">
        <v>0.6</v>
      </c>
      <c r="SGW19" s="174">
        <v>0.6</v>
      </c>
      <c r="SGX19" s="173">
        <v>0.6</v>
      </c>
      <c r="SGY19" s="174">
        <v>0.59</v>
      </c>
      <c r="SGZ19" s="175">
        <v>0.59</v>
      </c>
      <c r="SHA19" s="175">
        <v>0.58</v>
      </c>
      <c r="SHB19" s="175">
        <v>0.57</v>
      </c>
      <c r="SHC19" s="175">
        <v>0.55</v>
      </c>
      <c r="SHD19" s="175">
        <v>0.53</v>
      </c>
      <c r="SHE19" s="157" t="s">
        <v>67</v>
      </c>
      <c r="SHF19" s="157"/>
      <c r="SHG19" s="157"/>
      <c r="SHH19" s="173">
        <v>0.62</v>
      </c>
      <c r="SHI19" s="173">
        <v>0.61</v>
      </c>
      <c r="SHJ19" s="173">
        <v>0.61</v>
      </c>
      <c r="SHK19" s="173">
        <v>0.61</v>
      </c>
      <c r="SHL19" s="173">
        <v>0.6</v>
      </c>
      <c r="SHM19" s="174">
        <v>0.6</v>
      </c>
      <c r="SHN19" s="173">
        <v>0.6</v>
      </c>
      <c r="SHO19" s="174">
        <v>0.59</v>
      </c>
      <c r="SHP19" s="175">
        <v>0.59</v>
      </c>
      <c r="SHQ19" s="175">
        <v>0.58</v>
      </c>
      <c r="SHR19" s="175">
        <v>0.57</v>
      </c>
      <c r="SHS19" s="175">
        <v>0.55</v>
      </c>
      <c r="SHT19" s="175">
        <v>0.53</v>
      </c>
      <c r="SHU19" s="157" t="s">
        <v>67</v>
      </c>
      <c r="SHV19" s="157"/>
      <c r="SHW19" s="157"/>
      <c r="SHX19" s="173">
        <v>0.62</v>
      </c>
      <c r="SHY19" s="173">
        <v>0.61</v>
      </c>
      <c r="SHZ19" s="173">
        <v>0.61</v>
      </c>
      <c r="SIA19" s="173">
        <v>0.61</v>
      </c>
      <c r="SIB19" s="173">
        <v>0.6</v>
      </c>
      <c r="SIC19" s="174">
        <v>0.6</v>
      </c>
      <c r="SID19" s="173">
        <v>0.6</v>
      </c>
      <c r="SIE19" s="174">
        <v>0.59</v>
      </c>
      <c r="SIF19" s="175">
        <v>0.59</v>
      </c>
      <c r="SIG19" s="175">
        <v>0.58</v>
      </c>
      <c r="SIH19" s="175">
        <v>0.57</v>
      </c>
      <c r="SII19" s="175">
        <v>0.55</v>
      </c>
      <c r="SIJ19" s="175">
        <v>0.53</v>
      </c>
      <c r="SIK19" s="157" t="s">
        <v>67</v>
      </c>
      <c r="SIL19" s="157"/>
      <c r="SIM19" s="157"/>
      <c r="SIN19" s="173">
        <v>0.62</v>
      </c>
      <c r="SIO19" s="173">
        <v>0.61</v>
      </c>
      <c r="SIP19" s="173">
        <v>0.61</v>
      </c>
      <c r="SIQ19" s="173">
        <v>0.61</v>
      </c>
      <c r="SIR19" s="173">
        <v>0.6</v>
      </c>
      <c r="SIS19" s="174">
        <v>0.6</v>
      </c>
      <c r="SIT19" s="173">
        <v>0.6</v>
      </c>
      <c r="SIU19" s="174">
        <v>0.59</v>
      </c>
      <c r="SIV19" s="175">
        <v>0.59</v>
      </c>
      <c r="SIW19" s="175">
        <v>0.58</v>
      </c>
      <c r="SIX19" s="175">
        <v>0.57</v>
      </c>
      <c r="SIY19" s="175">
        <v>0.55</v>
      </c>
      <c r="SIZ19" s="175">
        <v>0.53</v>
      </c>
      <c r="SJA19" s="157" t="s">
        <v>67</v>
      </c>
      <c r="SJB19" s="157"/>
      <c r="SJC19" s="157"/>
      <c r="SJD19" s="173">
        <v>0.62</v>
      </c>
      <c r="SJE19" s="173">
        <v>0.61</v>
      </c>
      <c r="SJF19" s="173">
        <v>0.61</v>
      </c>
      <c r="SJG19" s="173">
        <v>0.61</v>
      </c>
      <c r="SJH19" s="173">
        <v>0.6</v>
      </c>
      <c r="SJI19" s="174">
        <v>0.6</v>
      </c>
      <c r="SJJ19" s="173">
        <v>0.6</v>
      </c>
      <c r="SJK19" s="174">
        <v>0.59</v>
      </c>
      <c r="SJL19" s="175">
        <v>0.59</v>
      </c>
      <c r="SJM19" s="175">
        <v>0.58</v>
      </c>
      <c r="SJN19" s="175">
        <v>0.57</v>
      </c>
      <c r="SJO19" s="175">
        <v>0.55</v>
      </c>
      <c r="SJP19" s="175">
        <v>0.53</v>
      </c>
      <c r="SJQ19" s="157" t="s">
        <v>67</v>
      </c>
      <c r="SJR19" s="157"/>
      <c r="SJS19" s="157"/>
      <c r="SJT19" s="173">
        <v>0.62</v>
      </c>
      <c r="SJU19" s="173">
        <v>0.61</v>
      </c>
      <c r="SJV19" s="173">
        <v>0.61</v>
      </c>
      <c r="SJW19" s="173">
        <v>0.61</v>
      </c>
      <c r="SJX19" s="173">
        <v>0.6</v>
      </c>
      <c r="SJY19" s="174">
        <v>0.6</v>
      </c>
      <c r="SJZ19" s="173">
        <v>0.6</v>
      </c>
      <c r="SKA19" s="174">
        <v>0.59</v>
      </c>
      <c r="SKB19" s="175">
        <v>0.59</v>
      </c>
      <c r="SKC19" s="175">
        <v>0.58</v>
      </c>
      <c r="SKD19" s="175">
        <v>0.57</v>
      </c>
      <c r="SKE19" s="175">
        <v>0.55</v>
      </c>
      <c r="SKF19" s="175">
        <v>0.53</v>
      </c>
      <c r="SKG19" s="157" t="s">
        <v>67</v>
      </c>
      <c r="SKH19" s="157"/>
      <c r="SKI19" s="157"/>
      <c r="SKJ19" s="173">
        <v>0.62</v>
      </c>
      <c r="SKK19" s="173">
        <v>0.61</v>
      </c>
      <c r="SKL19" s="173">
        <v>0.61</v>
      </c>
      <c r="SKM19" s="173">
        <v>0.61</v>
      </c>
      <c r="SKN19" s="173">
        <v>0.6</v>
      </c>
      <c r="SKO19" s="174">
        <v>0.6</v>
      </c>
      <c r="SKP19" s="173">
        <v>0.6</v>
      </c>
      <c r="SKQ19" s="174">
        <v>0.59</v>
      </c>
      <c r="SKR19" s="175">
        <v>0.59</v>
      </c>
      <c r="SKS19" s="175">
        <v>0.58</v>
      </c>
      <c r="SKT19" s="175">
        <v>0.57</v>
      </c>
      <c r="SKU19" s="175">
        <v>0.55</v>
      </c>
      <c r="SKV19" s="175">
        <v>0.53</v>
      </c>
      <c r="SKW19" s="157" t="s">
        <v>67</v>
      </c>
      <c r="SKX19" s="157"/>
      <c r="SKY19" s="157"/>
      <c r="SKZ19" s="173">
        <v>0.62</v>
      </c>
      <c r="SLA19" s="173">
        <v>0.61</v>
      </c>
      <c r="SLB19" s="173">
        <v>0.61</v>
      </c>
      <c r="SLC19" s="173">
        <v>0.61</v>
      </c>
      <c r="SLD19" s="173">
        <v>0.6</v>
      </c>
      <c r="SLE19" s="174">
        <v>0.6</v>
      </c>
      <c r="SLF19" s="173">
        <v>0.6</v>
      </c>
      <c r="SLG19" s="174">
        <v>0.59</v>
      </c>
      <c r="SLH19" s="175">
        <v>0.59</v>
      </c>
      <c r="SLI19" s="175">
        <v>0.58</v>
      </c>
      <c r="SLJ19" s="175">
        <v>0.57</v>
      </c>
      <c r="SLK19" s="175">
        <v>0.55</v>
      </c>
      <c r="SLL19" s="175">
        <v>0.53</v>
      </c>
      <c r="SLM19" s="157" t="s">
        <v>67</v>
      </c>
      <c r="SLN19" s="157"/>
      <c r="SLO19" s="157"/>
      <c r="SLP19" s="173">
        <v>0.62</v>
      </c>
      <c r="SLQ19" s="173">
        <v>0.61</v>
      </c>
      <c r="SLR19" s="173">
        <v>0.61</v>
      </c>
      <c r="SLS19" s="173">
        <v>0.61</v>
      </c>
      <c r="SLT19" s="173">
        <v>0.6</v>
      </c>
      <c r="SLU19" s="174">
        <v>0.6</v>
      </c>
      <c r="SLV19" s="173">
        <v>0.6</v>
      </c>
      <c r="SLW19" s="174">
        <v>0.59</v>
      </c>
      <c r="SLX19" s="175">
        <v>0.59</v>
      </c>
      <c r="SLY19" s="175">
        <v>0.58</v>
      </c>
      <c r="SLZ19" s="175">
        <v>0.57</v>
      </c>
      <c r="SMA19" s="175">
        <v>0.55</v>
      </c>
      <c r="SMB19" s="175">
        <v>0.53</v>
      </c>
      <c r="SMC19" s="157" t="s">
        <v>67</v>
      </c>
      <c r="SMD19" s="157"/>
      <c r="SME19" s="157"/>
      <c r="SMF19" s="173">
        <v>0.62</v>
      </c>
      <c r="SMG19" s="173">
        <v>0.61</v>
      </c>
      <c r="SMH19" s="173">
        <v>0.61</v>
      </c>
      <c r="SMI19" s="173">
        <v>0.61</v>
      </c>
      <c r="SMJ19" s="173">
        <v>0.6</v>
      </c>
      <c r="SMK19" s="174">
        <v>0.6</v>
      </c>
      <c r="SML19" s="173">
        <v>0.6</v>
      </c>
      <c r="SMM19" s="174">
        <v>0.59</v>
      </c>
      <c r="SMN19" s="175">
        <v>0.59</v>
      </c>
      <c r="SMO19" s="175">
        <v>0.58</v>
      </c>
      <c r="SMP19" s="175">
        <v>0.57</v>
      </c>
      <c r="SMQ19" s="175">
        <v>0.55</v>
      </c>
      <c r="SMR19" s="175">
        <v>0.53</v>
      </c>
      <c r="SMS19" s="157" t="s">
        <v>67</v>
      </c>
      <c r="SMT19" s="157"/>
      <c r="SMU19" s="157"/>
      <c r="SMV19" s="173">
        <v>0.62</v>
      </c>
      <c r="SMW19" s="173">
        <v>0.61</v>
      </c>
      <c r="SMX19" s="173">
        <v>0.61</v>
      </c>
      <c r="SMY19" s="173">
        <v>0.61</v>
      </c>
      <c r="SMZ19" s="173">
        <v>0.6</v>
      </c>
      <c r="SNA19" s="174">
        <v>0.6</v>
      </c>
      <c r="SNB19" s="173">
        <v>0.6</v>
      </c>
      <c r="SNC19" s="174">
        <v>0.59</v>
      </c>
      <c r="SND19" s="175">
        <v>0.59</v>
      </c>
      <c r="SNE19" s="175">
        <v>0.58</v>
      </c>
      <c r="SNF19" s="175">
        <v>0.57</v>
      </c>
      <c r="SNG19" s="175">
        <v>0.55</v>
      </c>
      <c r="SNH19" s="175">
        <v>0.53</v>
      </c>
      <c r="SNI19" s="157" t="s">
        <v>67</v>
      </c>
      <c r="SNJ19" s="157"/>
      <c r="SNK19" s="157"/>
      <c r="SNL19" s="173">
        <v>0.62</v>
      </c>
      <c r="SNM19" s="173">
        <v>0.61</v>
      </c>
      <c r="SNN19" s="173">
        <v>0.61</v>
      </c>
      <c r="SNO19" s="173">
        <v>0.61</v>
      </c>
      <c r="SNP19" s="173">
        <v>0.6</v>
      </c>
      <c r="SNQ19" s="174">
        <v>0.6</v>
      </c>
      <c r="SNR19" s="173">
        <v>0.6</v>
      </c>
      <c r="SNS19" s="174">
        <v>0.59</v>
      </c>
      <c r="SNT19" s="175">
        <v>0.59</v>
      </c>
      <c r="SNU19" s="175">
        <v>0.58</v>
      </c>
      <c r="SNV19" s="175">
        <v>0.57</v>
      </c>
      <c r="SNW19" s="175">
        <v>0.55</v>
      </c>
      <c r="SNX19" s="175">
        <v>0.53</v>
      </c>
      <c r="SNY19" s="157" t="s">
        <v>67</v>
      </c>
      <c r="SNZ19" s="157"/>
      <c r="SOA19" s="157"/>
      <c r="SOB19" s="173">
        <v>0.62</v>
      </c>
      <c r="SOC19" s="173">
        <v>0.61</v>
      </c>
      <c r="SOD19" s="173">
        <v>0.61</v>
      </c>
      <c r="SOE19" s="173">
        <v>0.61</v>
      </c>
      <c r="SOF19" s="173">
        <v>0.6</v>
      </c>
      <c r="SOG19" s="174">
        <v>0.6</v>
      </c>
      <c r="SOH19" s="173">
        <v>0.6</v>
      </c>
      <c r="SOI19" s="174">
        <v>0.59</v>
      </c>
      <c r="SOJ19" s="175">
        <v>0.59</v>
      </c>
      <c r="SOK19" s="175">
        <v>0.58</v>
      </c>
      <c r="SOL19" s="175">
        <v>0.57</v>
      </c>
      <c r="SOM19" s="175">
        <v>0.55</v>
      </c>
      <c r="SON19" s="175">
        <v>0.53</v>
      </c>
      <c r="SOO19" s="157" t="s">
        <v>67</v>
      </c>
      <c r="SOP19" s="157"/>
      <c r="SOQ19" s="157"/>
      <c r="SOR19" s="173">
        <v>0.62</v>
      </c>
      <c r="SOS19" s="173">
        <v>0.61</v>
      </c>
      <c r="SOT19" s="173">
        <v>0.61</v>
      </c>
      <c r="SOU19" s="173">
        <v>0.61</v>
      </c>
      <c r="SOV19" s="173">
        <v>0.6</v>
      </c>
      <c r="SOW19" s="174">
        <v>0.6</v>
      </c>
      <c r="SOX19" s="173">
        <v>0.6</v>
      </c>
      <c r="SOY19" s="174">
        <v>0.59</v>
      </c>
      <c r="SOZ19" s="175">
        <v>0.59</v>
      </c>
      <c r="SPA19" s="175">
        <v>0.58</v>
      </c>
      <c r="SPB19" s="175">
        <v>0.57</v>
      </c>
      <c r="SPC19" s="175">
        <v>0.55</v>
      </c>
      <c r="SPD19" s="175">
        <v>0.53</v>
      </c>
      <c r="SPE19" s="157" t="s">
        <v>67</v>
      </c>
      <c r="SPF19" s="157"/>
      <c r="SPG19" s="157"/>
      <c r="SPH19" s="173">
        <v>0.62</v>
      </c>
      <c r="SPI19" s="173">
        <v>0.61</v>
      </c>
      <c r="SPJ19" s="173">
        <v>0.61</v>
      </c>
      <c r="SPK19" s="173">
        <v>0.61</v>
      </c>
      <c r="SPL19" s="173">
        <v>0.6</v>
      </c>
      <c r="SPM19" s="174">
        <v>0.6</v>
      </c>
      <c r="SPN19" s="173">
        <v>0.6</v>
      </c>
      <c r="SPO19" s="174">
        <v>0.59</v>
      </c>
      <c r="SPP19" s="175">
        <v>0.59</v>
      </c>
      <c r="SPQ19" s="175">
        <v>0.58</v>
      </c>
      <c r="SPR19" s="175">
        <v>0.57</v>
      </c>
      <c r="SPS19" s="175">
        <v>0.55</v>
      </c>
      <c r="SPT19" s="175">
        <v>0.53</v>
      </c>
      <c r="SPU19" s="157" t="s">
        <v>67</v>
      </c>
      <c r="SPV19" s="157"/>
      <c r="SPW19" s="157"/>
      <c r="SPX19" s="173">
        <v>0.62</v>
      </c>
      <c r="SPY19" s="173">
        <v>0.61</v>
      </c>
      <c r="SPZ19" s="173">
        <v>0.61</v>
      </c>
      <c r="SQA19" s="173">
        <v>0.61</v>
      </c>
      <c r="SQB19" s="173">
        <v>0.6</v>
      </c>
      <c r="SQC19" s="174">
        <v>0.6</v>
      </c>
      <c r="SQD19" s="173">
        <v>0.6</v>
      </c>
      <c r="SQE19" s="174">
        <v>0.59</v>
      </c>
      <c r="SQF19" s="175">
        <v>0.59</v>
      </c>
      <c r="SQG19" s="175">
        <v>0.58</v>
      </c>
      <c r="SQH19" s="175">
        <v>0.57</v>
      </c>
      <c r="SQI19" s="175">
        <v>0.55</v>
      </c>
      <c r="SQJ19" s="175">
        <v>0.53</v>
      </c>
      <c r="SQK19" s="157" t="s">
        <v>67</v>
      </c>
      <c r="SQL19" s="157"/>
      <c r="SQM19" s="157"/>
      <c r="SQN19" s="173">
        <v>0.62</v>
      </c>
      <c r="SQO19" s="173">
        <v>0.61</v>
      </c>
      <c r="SQP19" s="173">
        <v>0.61</v>
      </c>
      <c r="SQQ19" s="173">
        <v>0.61</v>
      </c>
      <c r="SQR19" s="173">
        <v>0.6</v>
      </c>
      <c r="SQS19" s="174">
        <v>0.6</v>
      </c>
      <c r="SQT19" s="173">
        <v>0.6</v>
      </c>
      <c r="SQU19" s="174">
        <v>0.59</v>
      </c>
      <c r="SQV19" s="175">
        <v>0.59</v>
      </c>
      <c r="SQW19" s="175">
        <v>0.58</v>
      </c>
      <c r="SQX19" s="175">
        <v>0.57</v>
      </c>
      <c r="SQY19" s="175">
        <v>0.55</v>
      </c>
      <c r="SQZ19" s="175">
        <v>0.53</v>
      </c>
      <c r="SRA19" s="157" t="s">
        <v>67</v>
      </c>
      <c r="SRB19" s="157"/>
      <c r="SRC19" s="157"/>
      <c r="SRD19" s="173">
        <v>0.62</v>
      </c>
      <c r="SRE19" s="173">
        <v>0.61</v>
      </c>
      <c r="SRF19" s="173">
        <v>0.61</v>
      </c>
      <c r="SRG19" s="173">
        <v>0.61</v>
      </c>
      <c r="SRH19" s="173">
        <v>0.6</v>
      </c>
      <c r="SRI19" s="174">
        <v>0.6</v>
      </c>
      <c r="SRJ19" s="173">
        <v>0.6</v>
      </c>
      <c r="SRK19" s="174">
        <v>0.59</v>
      </c>
      <c r="SRL19" s="175">
        <v>0.59</v>
      </c>
      <c r="SRM19" s="175">
        <v>0.58</v>
      </c>
      <c r="SRN19" s="175">
        <v>0.57</v>
      </c>
      <c r="SRO19" s="175">
        <v>0.55</v>
      </c>
      <c r="SRP19" s="175">
        <v>0.53</v>
      </c>
      <c r="SRQ19" s="157" t="s">
        <v>67</v>
      </c>
      <c r="SRR19" s="157"/>
      <c r="SRS19" s="157"/>
      <c r="SRT19" s="173">
        <v>0.62</v>
      </c>
      <c r="SRU19" s="173">
        <v>0.61</v>
      </c>
      <c r="SRV19" s="173">
        <v>0.61</v>
      </c>
      <c r="SRW19" s="173">
        <v>0.61</v>
      </c>
      <c r="SRX19" s="173">
        <v>0.6</v>
      </c>
      <c r="SRY19" s="174">
        <v>0.6</v>
      </c>
      <c r="SRZ19" s="173">
        <v>0.6</v>
      </c>
      <c r="SSA19" s="174">
        <v>0.59</v>
      </c>
      <c r="SSB19" s="175">
        <v>0.59</v>
      </c>
      <c r="SSC19" s="175">
        <v>0.58</v>
      </c>
      <c r="SSD19" s="175">
        <v>0.57</v>
      </c>
      <c r="SSE19" s="175">
        <v>0.55</v>
      </c>
      <c r="SSF19" s="175">
        <v>0.53</v>
      </c>
      <c r="SSG19" s="157" t="s">
        <v>67</v>
      </c>
      <c r="SSH19" s="157"/>
      <c r="SSI19" s="157"/>
      <c r="SSJ19" s="173">
        <v>0.62</v>
      </c>
      <c r="SSK19" s="173">
        <v>0.61</v>
      </c>
      <c r="SSL19" s="173">
        <v>0.61</v>
      </c>
      <c r="SSM19" s="173">
        <v>0.61</v>
      </c>
      <c r="SSN19" s="173">
        <v>0.6</v>
      </c>
      <c r="SSO19" s="174">
        <v>0.6</v>
      </c>
      <c r="SSP19" s="173">
        <v>0.6</v>
      </c>
      <c r="SSQ19" s="174">
        <v>0.59</v>
      </c>
      <c r="SSR19" s="175">
        <v>0.59</v>
      </c>
      <c r="SSS19" s="175">
        <v>0.58</v>
      </c>
      <c r="SST19" s="175">
        <v>0.57</v>
      </c>
      <c r="SSU19" s="175">
        <v>0.55</v>
      </c>
      <c r="SSV19" s="175">
        <v>0.53</v>
      </c>
      <c r="SSW19" s="157" t="s">
        <v>67</v>
      </c>
      <c r="SSX19" s="157"/>
      <c r="SSY19" s="157"/>
      <c r="SSZ19" s="173">
        <v>0.62</v>
      </c>
      <c r="STA19" s="173">
        <v>0.61</v>
      </c>
      <c r="STB19" s="173">
        <v>0.61</v>
      </c>
      <c r="STC19" s="173">
        <v>0.61</v>
      </c>
      <c r="STD19" s="173">
        <v>0.6</v>
      </c>
      <c r="STE19" s="174">
        <v>0.6</v>
      </c>
      <c r="STF19" s="173">
        <v>0.6</v>
      </c>
      <c r="STG19" s="174">
        <v>0.59</v>
      </c>
      <c r="STH19" s="175">
        <v>0.59</v>
      </c>
      <c r="STI19" s="175">
        <v>0.58</v>
      </c>
      <c r="STJ19" s="175">
        <v>0.57</v>
      </c>
      <c r="STK19" s="175">
        <v>0.55</v>
      </c>
      <c r="STL19" s="175">
        <v>0.53</v>
      </c>
      <c r="STM19" s="157" t="s">
        <v>67</v>
      </c>
      <c r="STN19" s="157"/>
      <c r="STO19" s="157"/>
      <c r="STP19" s="173">
        <v>0.62</v>
      </c>
      <c r="STQ19" s="173">
        <v>0.61</v>
      </c>
      <c r="STR19" s="173">
        <v>0.61</v>
      </c>
      <c r="STS19" s="173">
        <v>0.61</v>
      </c>
      <c r="STT19" s="173">
        <v>0.6</v>
      </c>
      <c r="STU19" s="174">
        <v>0.6</v>
      </c>
      <c r="STV19" s="173">
        <v>0.6</v>
      </c>
      <c r="STW19" s="174">
        <v>0.59</v>
      </c>
      <c r="STX19" s="175">
        <v>0.59</v>
      </c>
      <c r="STY19" s="175">
        <v>0.58</v>
      </c>
      <c r="STZ19" s="175">
        <v>0.57</v>
      </c>
      <c r="SUA19" s="175">
        <v>0.55</v>
      </c>
      <c r="SUB19" s="175">
        <v>0.53</v>
      </c>
      <c r="SUC19" s="157" t="s">
        <v>67</v>
      </c>
      <c r="SUD19" s="157"/>
      <c r="SUE19" s="157"/>
      <c r="SUF19" s="173">
        <v>0.62</v>
      </c>
      <c r="SUG19" s="173">
        <v>0.61</v>
      </c>
      <c r="SUH19" s="173">
        <v>0.61</v>
      </c>
      <c r="SUI19" s="173">
        <v>0.61</v>
      </c>
      <c r="SUJ19" s="173">
        <v>0.6</v>
      </c>
      <c r="SUK19" s="174">
        <v>0.6</v>
      </c>
      <c r="SUL19" s="173">
        <v>0.6</v>
      </c>
      <c r="SUM19" s="174">
        <v>0.59</v>
      </c>
      <c r="SUN19" s="175">
        <v>0.59</v>
      </c>
      <c r="SUO19" s="175">
        <v>0.58</v>
      </c>
      <c r="SUP19" s="175">
        <v>0.57</v>
      </c>
      <c r="SUQ19" s="175">
        <v>0.55</v>
      </c>
      <c r="SUR19" s="175">
        <v>0.53</v>
      </c>
      <c r="SUS19" s="157" t="s">
        <v>67</v>
      </c>
      <c r="SUT19" s="157"/>
      <c r="SUU19" s="157"/>
      <c r="SUV19" s="173">
        <v>0.62</v>
      </c>
      <c r="SUW19" s="173">
        <v>0.61</v>
      </c>
      <c r="SUX19" s="173">
        <v>0.61</v>
      </c>
      <c r="SUY19" s="173">
        <v>0.61</v>
      </c>
      <c r="SUZ19" s="173">
        <v>0.6</v>
      </c>
      <c r="SVA19" s="174">
        <v>0.6</v>
      </c>
      <c r="SVB19" s="173">
        <v>0.6</v>
      </c>
      <c r="SVC19" s="174">
        <v>0.59</v>
      </c>
      <c r="SVD19" s="175">
        <v>0.59</v>
      </c>
      <c r="SVE19" s="175">
        <v>0.58</v>
      </c>
      <c r="SVF19" s="175">
        <v>0.57</v>
      </c>
      <c r="SVG19" s="175">
        <v>0.55</v>
      </c>
      <c r="SVH19" s="175">
        <v>0.53</v>
      </c>
      <c r="SVI19" s="157" t="s">
        <v>67</v>
      </c>
      <c r="SVJ19" s="157"/>
      <c r="SVK19" s="157"/>
      <c r="SVL19" s="173">
        <v>0.62</v>
      </c>
      <c r="SVM19" s="173">
        <v>0.61</v>
      </c>
      <c r="SVN19" s="173">
        <v>0.61</v>
      </c>
      <c r="SVO19" s="173">
        <v>0.61</v>
      </c>
      <c r="SVP19" s="173">
        <v>0.6</v>
      </c>
      <c r="SVQ19" s="174">
        <v>0.6</v>
      </c>
      <c r="SVR19" s="173">
        <v>0.6</v>
      </c>
      <c r="SVS19" s="174">
        <v>0.59</v>
      </c>
      <c r="SVT19" s="175">
        <v>0.59</v>
      </c>
      <c r="SVU19" s="175">
        <v>0.58</v>
      </c>
      <c r="SVV19" s="175">
        <v>0.57</v>
      </c>
      <c r="SVW19" s="175">
        <v>0.55</v>
      </c>
      <c r="SVX19" s="175">
        <v>0.53</v>
      </c>
      <c r="SVY19" s="157" t="s">
        <v>67</v>
      </c>
      <c r="SVZ19" s="157"/>
      <c r="SWA19" s="157"/>
      <c r="SWB19" s="173">
        <v>0.62</v>
      </c>
      <c r="SWC19" s="173">
        <v>0.61</v>
      </c>
      <c r="SWD19" s="173">
        <v>0.61</v>
      </c>
      <c r="SWE19" s="173">
        <v>0.61</v>
      </c>
      <c r="SWF19" s="173">
        <v>0.6</v>
      </c>
      <c r="SWG19" s="174">
        <v>0.6</v>
      </c>
      <c r="SWH19" s="173">
        <v>0.6</v>
      </c>
      <c r="SWI19" s="174">
        <v>0.59</v>
      </c>
      <c r="SWJ19" s="175">
        <v>0.59</v>
      </c>
      <c r="SWK19" s="175">
        <v>0.58</v>
      </c>
      <c r="SWL19" s="175">
        <v>0.57</v>
      </c>
      <c r="SWM19" s="175">
        <v>0.55</v>
      </c>
      <c r="SWN19" s="175">
        <v>0.53</v>
      </c>
      <c r="SWO19" s="157" t="s">
        <v>67</v>
      </c>
      <c r="SWP19" s="157"/>
      <c r="SWQ19" s="157"/>
      <c r="SWR19" s="173">
        <v>0.62</v>
      </c>
      <c r="SWS19" s="173">
        <v>0.61</v>
      </c>
      <c r="SWT19" s="173">
        <v>0.61</v>
      </c>
      <c r="SWU19" s="173">
        <v>0.61</v>
      </c>
      <c r="SWV19" s="173">
        <v>0.6</v>
      </c>
      <c r="SWW19" s="174">
        <v>0.6</v>
      </c>
      <c r="SWX19" s="173">
        <v>0.6</v>
      </c>
      <c r="SWY19" s="174">
        <v>0.59</v>
      </c>
      <c r="SWZ19" s="175">
        <v>0.59</v>
      </c>
      <c r="SXA19" s="175">
        <v>0.58</v>
      </c>
      <c r="SXB19" s="175">
        <v>0.57</v>
      </c>
      <c r="SXC19" s="175">
        <v>0.55</v>
      </c>
      <c r="SXD19" s="175">
        <v>0.53</v>
      </c>
      <c r="SXE19" s="157" t="s">
        <v>67</v>
      </c>
      <c r="SXF19" s="157"/>
      <c r="SXG19" s="157"/>
      <c r="SXH19" s="173">
        <v>0.62</v>
      </c>
      <c r="SXI19" s="173">
        <v>0.61</v>
      </c>
      <c r="SXJ19" s="173">
        <v>0.61</v>
      </c>
      <c r="SXK19" s="173">
        <v>0.61</v>
      </c>
      <c r="SXL19" s="173">
        <v>0.6</v>
      </c>
      <c r="SXM19" s="174">
        <v>0.6</v>
      </c>
      <c r="SXN19" s="173">
        <v>0.6</v>
      </c>
      <c r="SXO19" s="174">
        <v>0.59</v>
      </c>
      <c r="SXP19" s="175">
        <v>0.59</v>
      </c>
      <c r="SXQ19" s="175">
        <v>0.58</v>
      </c>
      <c r="SXR19" s="175">
        <v>0.57</v>
      </c>
      <c r="SXS19" s="175">
        <v>0.55</v>
      </c>
      <c r="SXT19" s="175">
        <v>0.53</v>
      </c>
      <c r="SXU19" s="157" t="s">
        <v>67</v>
      </c>
      <c r="SXV19" s="157"/>
      <c r="SXW19" s="157"/>
      <c r="SXX19" s="173">
        <v>0.62</v>
      </c>
      <c r="SXY19" s="173">
        <v>0.61</v>
      </c>
      <c r="SXZ19" s="173">
        <v>0.61</v>
      </c>
      <c r="SYA19" s="173">
        <v>0.61</v>
      </c>
      <c r="SYB19" s="173">
        <v>0.6</v>
      </c>
      <c r="SYC19" s="174">
        <v>0.6</v>
      </c>
      <c r="SYD19" s="173">
        <v>0.6</v>
      </c>
      <c r="SYE19" s="174">
        <v>0.59</v>
      </c>
      <c r="SYF19" s="175">
        <v>0.59</v>
      </c>
      <c r="SYG19" s="175">
        <v>0.58</v>
      </c>
      <c r="SYH19" s="175">
        <v>0.57</v>
      </c>
      <c r="SYI19" s="175">
        <v>0.55</v>
      </c>
      <c r="SYJ19" s="175">
        <v>0.53</v>
      </c>
      <c r="SYK19" s="157" t="s">
        <v>67</v>
      </c>
      <c r="SYL19" s="157"/>
      <c r="SYM19" s="157"/>
      <c r="SYN19" s="173">
        <v>0.62</v>
      </c>
      <c r="SYO19" s="173">
        <v>0.61</v>
      </c>
      <c r="SYP19" s="173">
        <v>0.61</v>
      </c>
      <c r="SYQ19" s="173">
        <v>0.61</v>
      </c>
      <c r="SYR19" s="173">
        <v>0.6</v>
      </c>
      <c r="SYS19" s="174">
        <v>0.6</v>
      </c>
      <c r="SYT19" s="173">
        <v>0.6</v>
      </c>
      <c r="SYU19" s="174">
        <v>0.59</v>
      </c>
      <c r="SYV19" s="175">
        <v>0.59</v>
      </c>
      <c r="SYW19" s="175">
        <v>0.58</v>
      </c>
      <c r="SYX19" s="175">
        <v>0.57</v>
      </c>
      <c r="SYY19" s="175">
        <v>0.55</v>
      </c>
      <c r="SYZ19" s="175">
        <v>0.53</v>
      </c>
      <c r="SZA19" s="157" t="s">
        <v>67</v>
      </c>
      <c r="SZB19" s="157"/>
      <c r="SZC19" s="157"/>
      <c r="SZD19" s="173">
        <v>0.62</v>
      </c>
      <c r="SZE19" s="173">
        <v>0.61</v>
      </c>
      <c r="SZF19" s="173">
        <v>0.61</v>
      </c>
      <c r="SZG19" s="173">
        <v>0.61</v>
      </c>
      <c r="SZH19" s="173">
        <v>0.6</v>
      </c>
      <c r="SZI19" s="174">
        <v>0.6</v>
      </c>
      <c r="SZJ19" s="173">
        <v>0.6</v>
      </c>
      <c r="SZK19" s="174">
        <v>0.59</v>
      </c>
      <c r="SZL19" s="175">
        <v>0.59</v>
      </c>
      <c r="SZM19" s="175">
        <v>0.58</v>
      </c>
      <c r="SZN19" s="175">
        <v>0.57</v>
      </c>
      <c r="SZO19" s="175">
        <v>0.55</v>
      </c>
      <c r="SZP19" s="175">
        <v>0.53</v>
      </c>
      <c r="SZQ19" s="157" t="s">
        <v>67</v>
      </c>
      <c r="SZR19" s="157"/>
      <c r="SZS19" s="157"/>
      <c r="SZT19" s="173">
        <v>0.62</v>
      </c>
      <c r="SZU19" s="173">
        <v>0.61</v>
      </c>
      <c r="SZV19" s="173">
        <v>0.61</v>
      </c>
      <c r="SZW19" s="173">
        <v>0.61</v>
      </c>
      <c r="SZX19" s="173">
        <v>0.6</v>
      </c>
      <c r="SZY19" s="174">
        <v>0.6</v>
      </c>
      <c r="SZZ19" s="173">
        <v>0.6</v>
      </c>
      <c r="TAA19" s="174">
        <v>0.59</v>
      </c>
      <c r="TAB19" s="175">
        <v>0.59</v>
      </c>
      <c r="TAC19" s="175">
        <v>0.58</v>
      </c>
      <c r="TAD19" s="175">
        <v>0.57</v>
      </c>
      <c r="TAE19" s="175">
        <v>0.55</v>
      </c>
      <c r="TAF19" s="175">
        <v>0.53</v>
      </c>
      <c r="TAG19" s="157" t="s">
        <v>67</v>
      </c>
      <c r="TAH19" s="157"/>
      <c r="TAI19" s="157"/>
      <c r="TAJ19" s="173">
        <v>0.62</v>
      </c>
      <c r="TAK19" s="173">
        <v>0.61</v>
      </c>
      <c r="TAL19" s="173">
        <v>0.61</v>
      </c>
      <c r="TAM19" s="173">
        <v>0.61</v>
      </c>
      <c r="TAN19" s="173">
        <v>0.6</v>
      </c>
      <c r="TAO19" s="174">
        <v>0.6</v>
      </c>
      <c r="TAP19" s="173">
        <v>0.6</v>
      </c>
      <c r="TAQ19" s="174">
        <v>0.59</v>
      </c>
      <c r="TAR19" s="175">
        <v>0.59</v>
      </c>
      <c r="TAS19" s="175">
        <v>0.58</v>
      </c>
      <c r="TAT19" s="175">
        <v>0.57</v>
      </c>
      <c r="TAU19" s="175">
        <v>0.55</v>
      </c>
      <c r="TAV19" s="175">
        <v>0.53</v>
      </c>
      <c r="TAW19" s="157" t="s">
        <v>67</v>
      </c>
      <c r="TAX19" s="157"/>
      <c r="TAY19" s="157"/>
      <c r="TAZ19" s="173">
        <v>0.62</v>
      </c>
      <c r="TBA19" s="173">
        <v>0.61</v>
      </c>
      <c r="TBB19" s="173">
        <v>0.61</v>
      </c>
      <c r="TBC19" s="173">
        <v>0.61</v>
      </c>
      <c r="TBD19" s="173">
        <v>0.6</v>
      </c>
      <c r="TBE19" s="174">
        <v>0.6</v>
      </c>
      <c r="TBF19" s="173">
        <v>0.6</v>
      </c>
      <c r="TBG19" s="174">
        <v>0.59</v>
      </c>
      <c r="TBH19" s="175">
        <v>0.59</v>
      </c>
      <c r="TBI19" s="175">
        <v>0.58</v>
      </c>
      <c r="TBJ19" s="175">
        <v>0.57</v>
      </c>
      <c r="TBK19" s="175">
        <v>0.55</v>
      </c>
      <c r="TBL19" s="175">
        <v>0.53</v>
      </c>
      <c r="TBM19" s="157" t="s">
        <v>67</v>
      </c>
      <c r="TBN19" s="157"/>
      <c r="TBO19" s="157"/>
      <c r="TBP19" s="173">
        <v>0.62</v>
      </c>
      <c r="TBQ19" s="173">
        <v>0.61</v>
      </c>
      <c r="TBR19" s="173">
        <v>0.61</v>
      </c>
      <c r="TBS19" s="173">
        <v>0.61</v>
      </c>
      <c r="TBT19" s="173">
        <v>0.6</v>
      </c>
      <c r="TBU19" s="174">
        <v>0.6</v>
      </c>
      <c r="TBV19" s="173">
        <v>0.6</v>
      </c>
      <c r="TBW19" s="174">
        <v>0.59</v>
      </c>
      <c r="TBX19" s="175">
        <v>0.59</v>
      </c>
      <c r="TBY19" s="175">
        <v>0.58</v>
      </c>
      <c r="TBZ19" s="175">
        <v>0.57</v>
      </c>
      <c r="TCA19" s="175">
        <v>0.55</v>
      </c>
      <c r="TCB19" s="175">
        <v>0.53</v>
      </c>
      <c r="TCC19" s="157" t="s">
        <v>67</v>
      </c>
      <c r="TCD19" s="157"/>
      <c r="TCE19" s="157"/>
      <c r="TCF19" s="173">
        <v>0.62</v>
      </c>
      <c r="TCG19" s="173">
        <v>0.61</v>
      </c>
      <c r="TCH19" s="173">
        <v>0.61</v>
      </c>
      <c r="TCI19" s="173">
        <v>0.61</v>
      </c>
      <c r="TCJ19" s="173">
        <v>0.6</v>
      </c>
      <c r="TCK19" s="174">
        <v>0.6</v>
      </c>
      <c r="TCL19" s="173">
        <v>0.6</v>
      </c>
      <c r="TCM19" s="174">
        <v>0.59</v>
      </c>
      <c r="TCN19" s="175">
        <v>0.59</v>
      </c>
      <c r="TCO19" s="175">
        <v>0.58</v>
      </c>
      <c r="TCP19" s="175">
        <v>0.57</v>
      </c>
      <c r="TCQ19" s="175">
        <v>0.55</v>
      </c>
      <c r="TCR19" s="175">
        <v>0.53</v>
      </c>
      <c r="TCS19" s="157" t="s">
        <v>67</v>
      </c>
      <c r="TCT19" s="157"/>
      <c r="TCU19" s="157"/>
      <c r="TCV19" s="173">
        <v>0.62</v>
      </c>
      <c r="TCW19" s="173">
        <v>0.61</v>
      </c>
      <c r="TCX19" s="173">
        <v>0.61</v>
      </c>
      <c r="TCY19" s="173">
        <v>0.61</v>
      </c>
      <c r="TCZ19" s="173">
        <v>0.6</v>
      </c>
      <c r="TDA19" s="174">
        <v>0.6</v>
      </c>
      <c r="TDB19" s="173">
        <v>0.6</v>
      </c>
      <c r="TDC19" s="174">
        <v>0.59</v>
      </c>
      <c r="TDD19" s="175">
        <v>0.59</v>
      </c>
      <c r="TDE19" s="175">
        <v>0.58</v>
      </c>
      <c r="TDF19" s="175">
        <v>0.57</v>
      </c>
      <c r="TDG19" s="175">
        <v>0.55</v>
      </c>
      <c r="TDH19" s="175">
        <v>0.53</v>
      </c>
      <c r="TDI19" s="157" t="s">
        <v>67</v>
      </c>
      <c r="TDJ19" s="157"/>
      <c r="TDK19" s="157"/>
      <c r="TDL19" s="173">
        <v>0.62</v>
      </c>
      <c r="TDM19" s="173">
        <v>0.61</v>
      </c>
      <c r="TDN19" s="173">
        <v>0.61</v>
      </c>
      <c r="TDO19" s="173">
        <v>0.61</v>
      </c>
      <c r="TDP19" s="173">
        <v>0.6</v>
      </c>
      <c r="TDQ19" s="174">
        <v>0.6</v>
      </c>
      <c r="TDR19" s="173">
        <v>0.6</v>
      </c>
      <c r="TDS19" s="174">
        <v>0.59</v>
      </c>
      <c r="TDT19" s="175">
        <v>0.59</v>
      </c>
      <c r="TDU19" s="175">
        <v>0.58</v>
      </c>
      <c r="TDV19" s="175">
        <v>0.57</v>
      </c>
      <c r="TDW19" s="175">
        <v>0.55</v>
      </c>
      <c r="TDX19" s="175">
        <v>0.53</v>
      </c>
      <c r="TDY19" s="157" t="s">
        <v>67</v>
      </c>
      <c r="TDZ19" s="157"/>
      <c r="TEA19" s="157"/>
      <c r="TEB19" s="173">
        <v>0.62</v>
      </c>
      <c r="TEC19" s="173">
        <v>0.61</v>
      </c>
      <c r="TED19" s="173">
        <v>0.61</v>
      </c>
      <c r="TEE19" s="173">
        <v>0.61</v>
      </c>
      <c r="TEF19" s="173">
        <v>0.6</v>
      </c>
      <c r="TEG19" s="174">
        <v>0.6</v>
      </c>
      <c r="TEH19" s="173">
        <v>0.6</v>
      </c>
      <c r="TEI19" s="174">
        <v>0.59</v>
      </c>
      <c r="TEJ19" s="175">
        <v>0.59</v>
      </c>
      <c r="TEK19" s="175">
        <v>0.58</v>
      </c>
      <c r="TEL19" s="175">
        <v>0.57</v>
      </c>
      <c r="TEM19" s="175">
        <v>0.55</v>
      </c>
      <c r="TEN19" s="175">
        <v>0.53</v>
      </c>
      <c r="TEO19" s="157" t="s">
        <v>67</v>
      </c>
      <c r="TEP19" s="157"/>
      <c r="TEQ19" s="157"/>
      <c r="TER19" s="173">
        <v>0.62</v>
      </c>
      <c r="TES19" s="173">
        <v>0.61</v>
      </c>
      <c r="TET19" s="173">
        <v>0.61</v>
      </c>
      <c r="TEU19" s="173">
        <v>0.61</v>
      </c>
      <c r="TEV19" s="173">
        <v>0.6</v>
      </c>
      <c r="TEW19" s="174">
        <v>0.6</v>
      </c>
      <c r="TEX19" s="173">
        <v>0.6</v>
      </c>
      <c r="TEY19" s="174">
        <v>0.59</v>
      </c>
      <c r="TEZ19" s="175">
        <v>0.59</v>
      </c>
      <c r="TFA19" s="175">
        <v>0.58</v>
      </c>
      <c r="TFB19" s="175">
        <v>0.57</v>
      </c>
      <c r="TFC19" s="175">
        <v>0.55</v>
      </c>
      <c r="TFD19" s="175">
        <v>0.53</v>
      </c>
      <c r="TFE19" s="157" t="s">
        <v>67</v>
      </c>
      <c r="TFF19" s="157"/>
      <c r="TFG19" s="157"/>
      <c r="TFH19" s="173">
        <v>0.62</v>
      </c>
      <c r="TFI19" s="173">
        <v>0.61</v>
      </c>
      <c r="TFJ19" s="173">
        <v>0.61</v>
      </c>
      <c r="TFK19" s="173">
        <v>0.61</v>
      </c>
      <c r="TFL19" s="173">
        <v>0.6</v>
      </c>
      <c r="TFM19" s="174">
        <v>0.6</v>
      </c>
      <c r="TFN19" s="173">
        <v>0.6</v>
      </c>
      <c r="TFO19" s="174">
        <v>0.59</v>
      </c>
      <c r="TFP19" s="175">
        <v>0.59</v>
      </c>
      <c r="TFQ19" s="175">
        <v>0.58</v>
      </c>
      <c r="TFR19" s="175">
        <v>0.57</v>
      </c>
      <c r="TFS19" s="175">
        <v>0.55</v>
      </c>
      <c r="TFT19" s="175">
        <v>0.53</v>
      </c>
      <c r="TFU19" s="157" t="s">
        <v>67</v>
      </c>
      <c r="TFV19" s="157"/>
      <c r="TFW19" s="157"/>
      <c r="TFX19" s="173">
        <v>0.62</v>
      </c>
      <c r="TFY19" s="173">
        <v>0.61</v>
      </c>
      <c r="TFZ19" s="173">
        <v>0.61</v>
      </c>
      <c r="TGA19" s="173">
        <v>0.61</v>
      </c>
      <c r="TGB19" s="173">
        <v>0.6</v>
      </c>
      <c r="TGC19" s="174">
        <v>0.6</v>
      </c>
      <c r="TGD19" s="173">
        <v>0.6</v>
      </c>
      <c r="TGE19" s="174">
        <v>0.59</v>
      </c>
      <c r="TGF19" s="175">
        <v>0.59</v>
      </c>
      <c r="TGG19" s="175">
        <v>0.58</v>
      </c>
      <c r="TGH19" s="175">
        <v>0.57</v>
      </c>
      <c r="TGI19" s="175">
        <v>0.55</v>
      </c>
      <c r="TGJ19" s="175">
        <v>0.53</v>
      </c>
      <c r="TGK19" s="157" t="s">
        <v>67</v>
      </c>
      <c r="TGL19" s="157"/>
      <c r="TGM19" s="157"/>
      <c r="TGN19" s="173">
        <v>0.62</v>
      </c>
      <c r="TGO19" s="173">
        <v>0.61</v>
      </c>
      <c r="TGP19" s="173">
        <v>0.61</v>
      </c>
      <c r="TGQ19" s="173">
        <v>0.61</v>
      </c>
      <c r="TGR19" s="173">
        <v>0.6</v>
      </c>
      <c r="TGS19" s="174">
        <v>0.6</v>
      </c>
      <c r="TGT19" s="173">
        <v>0.6</v>
      </c>
      <c r="TGU19" s="174">
        <v>0.59</v>
      </c>
      <c r="TGV19" s="175">
        <v>0.59</v>
      </c>
      <c r="TGW19" s="175">
        <v>0.58</v>
      </c>
      <c r="TGX19" s="175">
        <v>0.57</v>
      </c>
      <c r="TGY19" s="175">
        <v>0.55</v>
      </c>
      <c r="TGZ19" s="175">
        <v>0.53</v>
      </c>
      <c r="THA19" s="157" t="s">
        <v>67</v>
      </c>
      <c r="THB19" s="157"/>
      <c r="THC19" s="157"/>
      <c r="THD19" s="173">
        <v>0.62</v>
      </c>
      <c r="THE19" s="173">
        <v>0.61</v>
      </c>
      <c r="THF19" s="173">
        <v>0.61</v>
      </c>
      <c r="THG19" s="173">
        <v>0.61</v>
      </c>
      <c r="THH19" s="173">
        <v>0.6</v>
      </c>
      <c r="THI19" s="174">
        <v>0.6</v>
      </c>
      <c r="THJ19" s="173">
        <v>0.6</v>
      </c>
      <c r="THK19" s="174">
        <v>0.59</v>
      </c>
      <c r="THL19" s="175">
        <v>0.59</v>
      </c>
      <c r="THM19" s="175">
        <v>0.58</v>
      </c>
      <c r="THN19" s="175">
        <v>0.57</v>
      </c>
      <c r="THO19" s="175">
        <v>0.55</v>
      </c>
      <c r="THP19" s="175">
        <v>0.53</v>
      </c>
      <c r="THQ19" s="157" t="s">
        <v>67</v>
      </c>
      <c r="THR19" s="157"/>
      <c r="THS19" s="157"/>
      <c r="THT19" s="173">
        <v>0.62</v>
      </c>
      <c r="THU19" s="173">
        <v>0.61</v>
      </c>
      <c r="THV19" s="173">
        <v>0.61</v>
      </c>
      <c r="THW19" s="173">
        <v>0.61</v>
      </c>
      <c r="THX19" s="173">
        <v>0.6</v>
      </c>
      <c r="THY19" s="174">
        <v>0.6</v>
      </c>
      <c r="THZ19" s="173">
        <v>0.6</v>
      </c>
      <c r="TIA19" s="174">
        <v>0.59</v>
      </c>
      <c r="TIB19" s="175">
        <v>0.59</v>
      </c>
      <c r="TIC19" s="175">
        <v>0.58</v>
      </c>
      <c r="TID19" s="175">
        <v>0.57</v>
      </c>
      <c r="TIE19" s="175">
        <v>0.55</v>
      </c>
      <c r="TIF19" s="175">
        <v>0.53</v>
      </c>
      <c r="TIG19" s="157" t="s">
        <v>67</v>
      </c>
      <c r="TIH19" s="157"/>
      <c r="TII19" s="157"/>
      <c r="TIJ19" s="173">
        <v>0.62</v>
      </c>
      <c r="TIK19" s="173">
        <v>0.61</v>
      </c>
      <c r="TIL19" s="173">
        <v>0.61</v>
      </c>
      <c r="TIM19" s="173">
        <v>0.61</v>
      </c>
      <c r="TIN19" s="173">
        <v>0.6</v>
      </c>
      <c r="TIO19" s="174">
        <v>0.6</v>
      </c>
      <c r="TIP19" s="173">
        <v>0.6</v>
      </c>
      <c r="TIQ19" s="174">
        <v>0.59</v>
      </c>
      <c r="TIR19" s="175">
        <v>0.59</v>
      </c>
      <c r="TIS19" s="175">
        <v>0.58</v>
      </c>
      <c r="TIT19" s="175">
        <v>0.57</v>
      </c>
      <c r="TIU19" s="175">
        <v>0.55</v>
      </c>
      <c r="TIV19" s="175">
        <v>0.53</v>
      </c>
      <c r="TIW19" s="157" t="s">
        <v>67</v>
      </c>
      <c r="TIX19" s="157"/>
      <c r="TIY19" s="157"/>
      <c r="TIZ19" s="173">
        <v>0.62</v>
      </c>
      <c r="TJA19" s="173">
        <v>0.61</v>
      </c>
      <c r="TJB19" s="173">
        <v>0.61</v>
      </c>
      <c r="TJC19" s="173">
        <v>0.61</v>
      </c>
      <c r="TJD19" s="173">
        <v>0.6</v>
      </c>
      <c r="TJE19" s="174">
        <v>0.6</v>
      </c>
      <c r="TJF19" s="173">
        <v>0.6</v>
      </c>
      <c r="TJG19" s="174">
        <v>0.59</v>
      </c>
      <c r="TJH19" s="175">
        <v>0.59</v>
      </c>
      <c r="TJI19" s="175">
        <v>0.58</v>
      </c>
      <c r="TJJ19" s="175">
        <v>0.57</v>
      </c>
      <c r="TJK19" s="175">
        <v>0.55</v>
      </c>
      <c r="TJL19" s="175">
        <v>0.53</v>
      </c>
      <c r="TJM19" s="157" t="s">
        <v>67</v>
      </c>
      <c r="TJN19" s="157"/>
      <c r="TJO19" s="157"/>
      <c r="TJP19" s="173">
        <v>0.62</v>
      </c>
      <c r="TJQ19" s="173">
        <v>0.61</v>
      </c>
      <c r="TJR19" s="173">
        <v>0.61</v>
      </c>
      <c r="TJS19" s="173">
        <v>0.61</v>
      </c>
      <c r="TJT19" s="173">
        <v>0.6</v>
      </c>
      <c r="TJU19" s="174">
        <v>0.6</v>
      </c>
      <c r="TJV19" s="173">
        <v>0.6</v>
      </c>
      <c r="TJW19" s="174">
        <v>0.59</v>
      </c>
      <c r="TJX19" s="175">
        <v>0.59</v>
      </c>
      <c r="TJY19" s="175">
        <v>0.58</v>
      </c>
      <c r="TJZ19" s="175">
        <v>0.57</v>
      </c>
      <c r="TKA19" s="175">
        <v>0.55</v>
      </c>
      <c r="TKB19" s="175">
        <v>0.53</v>
      </c>
      <c r="TKC19" s="157" t="s">
        <v>67</v>
      </c>
      <c r="TKD19" s="157"/>
      <c r="TKE19" s="157"/>
      <c r="TKF19" s="173">
        <v>0.62</v>
      </c>
      <c r="TKG19" s="173">
        <v>0.61</v>
      </c>
      <c r="TKH19" s="173">
        <v>0.61</v>
      </c>
      <c r="TKI19" s="173">
        <v>0.61</v>
      </c>
      <c r="TKJ19" s="173">
        <v>0.6</v>
      </c>
      <c r="TKK19" s="174">
        <v>0.6</v>
      </c>
      <c r="TKL19" s="173">
        <v>0.6</v>
      </c>
      <c r="TKM19" s="174">
        <v>0.59</v>
      </c>
      <c r="TKN19" s="175">
        <v>0.59</v>
      </c>
      <c r="TKO19" s="175">
        <v>0.58</v>
      </c>
      <c r="TKP19" s="175">
        <v>0.57</v>
      </c>
      <c r="TKQ19" s="175">
        <v>0.55</v>
      </c>
      <c r="TKR19" s="175">
        <v>0.53</v>
      </c>
      <c r="TKS19" s="157" t="s">
        <v>67</v>
      </c>
      <c r="TKT19" s="157"/>
      <c r="TKU19" s="157"/>
      <c r="TKV19" s="173">
        <v>0.62</v>
      </c>
      <c r="TKW19" s="173">
        <v>0.61</v>
      </c>
      <c r="TKX19" s="173">
        <v>0.61</v>
      </c>
      <c r="TKY19" s="173">
        <v>0.61</v>
      </c>
      <c r="TKZ19" s="173">
        <v>0.6</v>
      </c>
      <c r="TLA19" s="174">
        <v>0.6</v>
      </c>
      <c r="TLB19" s="173">
        <v>0.6</v>
      </c>
      <c r="TLC19" s="174">
        <v>0.59</v>
      </c>
      <c r="TLD19" s="175">
        <v>0.59</v>
      </c>
      <c r="TLE19" s="175">
        <v>0.58</v>
      </c>
      <c r="TLF19" s="175">
        <v>0.57</v>
      </c>
      <c r="TLG19" s="175">
        <v>0.55</v>
      </c>
      <c r="TLH19" s="175">
        <v>0.53</v>
      </c>
      <c r="TLI19" s="157" t="s">
        <v>67</v>
      </c>
      <c r="TLJ19" s="157"/>
      <c r="TLK19" s="157"/>
      <c r="TLL19" s="173">
        <v>0.62</v>
      </c>
      <c r="TLM19" s="173">
        <v>0.61</v>
      </c>
      <c r="TLN19" s="173">
        <v>0.61</v>
      </c>
      <c r="TLO19" s="173">
        <v>0.61</v>
      </c>
      <c r="TLP19" s="173">
        <v>0.6</v>
      </c>
      <c r="TLQ19" s="174">
        <v>0.6</v>
      </c>
      <c r="TLR19" s="173">
        <v>0.6</v>
      </c>
      <c r="TLS19" s="174">
        <v>0.59</v>
      </c>
      <c r="TLT19" s="175">
        <v>0.59</v>
      </c>
      <c r="TLU19" s="175">
        <v>0.58</v>
      </c>
      <c r="TLV19" s="175">
        <v>0.57</v>
      </c>
      <c r="TLW19" s="175">
        <v>0.55</v>
      </c>
      <c r="TLX19" s="175">
        <v>0.53</v>
      </c>
      <c r="TLY19" s="157" t="s">
        <v>67</v>
      </c>
      <c r="TLZ19" s="157"/>
      <c r="TMA19" s="157"/>
      <c r="TMB19" s="173">
        <v>0.62</v>
      </c>
      <c r="TMC19" s="173">
        <v>0.61</v>
      </c>
      <c r="TMD19" s="173">
        <v>0.61</v>
      </c>
      <c r="TME19" s="173">
        <v>0.61</v>
      </c>
      <c r="TMF19" s="173">
        <v>0.6</v>
      </c>
      <c r="TMG19" s="174">
        <v>0.6</v>
      </c>
      <c r="TMH19" s="173">
        <v>0.6</v>
      </c>
      <c r="TMI19" s="174">
        <v>0.59</v>
      </c>
      <c r="TMJ19" s="175">
        <v>0.59</v>
      </c>
      <c r="TMK19" s="175">
        <v>0.58</v>
      </c>
      <c r="TML19" s="175">
        <v>0.57</v>
      </c>
      <c r="TMM19" s="175">
        <v>0.55</v>
      </c>
      <c r="TMN19" s="175">
        <v>0.53</v>
      </c>
      <c r="TMO19" s="157" t="s">
        <v>67</v>
      </c>
      <c r="TMP19" s="157"/>
      <c r="TMQ19" s="157"/>
      <c r="TMR19" s="173">
        <v>0.62</v>
      </c>
      <c r="TMS19" s="173">
        <v>0.61</v>
      </c>
      <c r="TMT19" s="173">
        <v>0.61</v>
      </c>
      <c r="TMU19" s="173">
        <v>0.61</v>
      </c>
      <c r="TMV19" s="173">
        <v>0.6</v>
      </c>
      <c r="TMW19" s="174">
        <v>0.6</v>
      </c>
      <c r="TMX19" s="173">
        <v>0.6</v>
      </c>
      <c r="TMY19" s="174">
        <v>0.59</v>
      </c>
      <c r="TMZ19" s="175">
        <v>0.59</v>
      </c>
      <c r="TNA19" s="175">
        <v>0.58</v>
      </c>
      <c r="TNB19" s="175">
        <v>0.57</v>
      </c>
      <c r="TNC19" s="175">
        <v>0.55</v>
      </c>
      <c r="TND19" s="175">
        <v>0.53</v>
      </c>
      <c r="TNE19" s="157" t="s">
        <v>67</v>
      </c>
      <c r="TNF19" s="157"/>
      <c r="TNG19" s="157"/>
      <c r="TNH19" s="173">
        <v>0.62</v>
      </c>
      <c r="TNI19" s="173">
        <v>0.61</v>
      </c>
      <c r="TNJ19" s="173">
        <v>0.61</v>
      </c>
      <c r="TNK19" s="173">
        <v>0.61</v>
      </c>
      <c r="TNL19" s="173">
        <v>0.6</v>
      </c>
      <c r="TNM19" s="174">
        <v>0.6</v>
      </c>
      <c r="TNN19" s="173">
        <v>0.6</v>
      </c>
      <c r="TNO19" s="174">
        <v>0.59</v>
      </c>
      <c r="TNP19" s="175">
        <v>0.59</v>
      </c>
      <c r="TNQ19" s="175">
        <v>0.58</v>
      </c>
      <c r="TNR19" s="175">
        <v>0.57</v>
      </c>
      <c r="TNS19" s="175">
        <v>0.55</v>
      </c>
      <c r="TNT19" s="175">
        <v>0.53</v>
      </c>
      <c r="TNU19" s="157" t="s">
        <v>67</v>
      </c>
      <c r="TNV19" s="157"/>
      <c r="TNW19" s="157"/>
      <c r="TNX19" s="173">
        <v>0.62</v>
      </c>
      <c r="TNY19" s="173">
        <v>0.61</v>
      </c>
      <c r="TNZ19" s="173">
        <v>0.61</v>
      </c>
      <c r="TOA19" s="173">
        <v>0.61</v>
      </c>
      <c r="TOB19" s="173">
        <v>0.6</v>
      </c>
      <c r="TOC19" s="174">
        <v>0.6</v>
      </c>
      <c r="TOD19" s="173">
        <v>0.6</v>
      </c>
      <c r="TOE19" s="174">
        <v>0.59</v>
      </c>
      <c r="TOF19" s="175">
        <v>0.59</v>
      </c>
      <c r="TOG19" s="175">
        <v>0.58</v>
      </c>
      <c r="TOH19" s="175">
        <v>0.57</v>
      </c>
      <c r="TOI19" s="175">
        <v>0.55</v>
      </c>
      <c r="TOJ19" s="175">
        <v>0.53</v>
      </c>
      <c r="TOK19" s="157" t="s">
        <v>67</v>
      </c>
      <c r="TOL19" s="157"/>
      <c r="TOM19" s="157"/>
      <c r="TON19" s="173">
        <v>0.62</v>
      </c>
      <c r="TOO19" s="173">
        <v>0.61</v>
      </c>
      <c r="TOP19" s="173">
        <v>0.61</v>
      </c>
      <c r="TOQ19" s="173">
        <v>0.61</v>
      </c>
      <c r="TOR19" s="173">
        <v>0.6</v>
      </c>
      <c r="TOS19" s="174">
        <v>0.6</v>
      </c>
      <c r="TOT19" s="173">
        <v>0.6</v>
      </c>
      <c r="TOU19" s="174">
        <v>0.59</v>
      </c>
      <c r="TOV19" s="175">
        <v>0.59</v>
      </c>
      <c r="TOW19" s="175">
        <v>0.58</v>
      </c>
      <c r="TOX19" s="175">
        <v>0.57</v>
      </c>
      <c r="TOY19" s="175">
        <v>0.55</v>
      </c>
      <c r="TOZ19" s="175">
        <v>0.53</v>
      </c>
      <c r="TPA19" s="157" t="s">
        <v>67</v>
      </c>
      <c r="TPB19" s="157"/>
      <c r="TPC19" s="157"/>
      <c r="TPD19" s="173">
        <v>0.62</v>
      </c>
      <c r="TPE19" s="173">
        <v>0.61</v>
      </c>
      <c r="TPF19" s="173">
        <v>0.61</v>
      </c>
      <c r="TPG19" s="173">
        <v>0.61</v>
      </c>
      <c r="TPH19" s="173">
        <v>0.6</v>
      </c>
      <c r="TPI19" s="174">
        <v>0.6</v>
      </c>
      <c r="TPJ19" s="173">
        <v>0.6</v>
      </c>
      <c r="TPK19" s="174">
        <v>0.59</v>
      </c>
      <c r="TPL19" s="175">
        <v>0.59</v>
      </c>
      <c r="TPM19" s="175">
        <v>0.58</v>
      </c>
      <c r="TPN19" s="175">
        <v>0.57</v>
      </c>
      <c r="TPO19" s="175">
        <v>0.55</v>
      </c>
      <c r="TPP19" s="175">
        <v>0.53</v>
      </c>
      <c r="TPQ19" s="157" t="s">
        <v>67</v>
      </c>
      <c r="TPR19" s="157"/>
      <c r="TPS19" s="157"/>
      <c r="TPT19" s="173">
        <v>0.62</v>
      </c>
      <c r="TPU19" s="173">
        <v>0.61</v>
      </c>
      <c r="TPV19" s="173">
        <v>0.61</v>
      </c>
      <c r="TPW19" s="173">
        <v>0.61</v>
      </c>
      <c r="TPX19" s="173">
        <v>0.6</v>
      </c>
      <c r="TPY19" s="174">
        <v>0.6</v>
      </c>
      <c r="TPZ19" s="173">
        <v>0.6</v>
      </c>
      <c r="TQA19" s="174">
        <v>0.59</v>
      </c>
      <c r="TQB19" s="175">
        <v>0.59</v>
      </c>
      <c r="TQC19" s="175">
        <v>0.58</v>
      </c>
      <c r="TQD19" s="175">
        <v>0.57</v>
      </c>
      <c r="TQE19" s="175">
        <v>0.55</v>
      </c>
      <c r="TQF19" s="175">
        <v>0.53</v>
      </c>
      <c r="TQG19" s="157" t="s">
        <v>67</v>
      </c>
      <c r="TQH19" s="157"/>
      <c r="TQI19" s="157"/>
      <c r="TQJ19" s="173">
        <v>0.62</v>
      </c>
      <c r="TQK19" s="173">
        <v>0.61</v>
      </c>
      <c r="TQL19" s="173">
        <v>0.61</v>
      </c>
      <c r="TQM19" s="173">
        <v>0.61</v>
      </c>
      <c r="TQN19" s="173">
        <v>0.6</v>
      </c>
      <c r="TQO19" s="174">
        <v>0.6</v>
      </c>
      <c r="TQP19" s="173">
        <v>0.6</v>
      </c>
      <c r="TQQ19" s="174">
        <v>0.59</v>
      </c>
      <c r="TQR19" s="175">
        <v>0.59</v>
      </c>
      <c r="TQS19" s="175">
        <v>0.58</v>
      </c>
      <c r="TQT19" s="175">
        <v>0.57</v>
      </c>
      <c r="TQU19" s="175">
        <v>0.55</v>
      </c>
      <c r="TQV19" s="175">
        <v>0.53</v>
      </c>
      <c r="TQW19" s="157" t="s">
        <v>67</v>
      </c>
      <c r="TQX19" s="157"/>
      <c r="TQY19" s="157"/>
      <c r="TQZ19" s="173">
        <v>0.62</v>
      </c>
      <c r="TRA19" s="173">
        <v>0.61</v>
      </c>
      <c r="TRB19" s="173">
        <v>0.61</v>
      </c>
      <c r="TRC19" s="173">
        <v>0.61</v>
      </c>
      <c r="TRD19" s="173">
        <v>0.6</v>
      </c>
      <c r="TRE19" s="174">
        <v>0.6</v>
      </c>
      <c r="TRF19" s="173">
        <v>0.6</v>
      </c>
      <c r="TRG19" s="174">
        <v>0.59</v>
      </c>
      <c r="TRH19" s="175">
        <v>0.59</v>
      </c>
      <c r="TRI19" s="175">
        <v>0.58</v>
      </c>
      <c r="TRJ19" s="175">
        <v>0.57</v>
      </c>
      <c r="TRK19" s="175">
        <v>0.55</v>
      </c>
      <c r="TRL19" s="175">
        <v>0.53</v>
      </c>
      <c r="TRM19" s="157" t="s">
        <v>67</v>
      </c>
      <c r="TRN19" s="157"/>
      <c r="TRO19" s="157"/>
      <c r="TRP19" s="173">
        <v>0.62</v>
      </c>
      <c r="TRQ19" s="173">
        <v>0.61</v>
      </c>
      <c r="TRR19" s="173">
        <v>0.61</v>
      </c>
      <c r="TRS19" s="173">
        <v>0.61</v>
      </c>
      <c r="TRT19" s="173">
        <v>0.6</v>
      </c>
      <c r="TRU19" s="174">
        <v>0.6</v>
      </c>
      <c r="TRV19" s="173">
        <v>0.6</v>
      </c>
      <c r="TRW19" s="174">
        <v>0.59</v>
      </c>
      <c r="TRX19" s="175">
        <v>0.59</v>
      </c>
      <c r="TRY19" s="175">
        <v>0.58</v>
      </c>
      <c r="TRZ19" s="175">
        <v>0.57</v>
      </c>
      <c r="TSA19" s="175">
        <v>0.55</v>
      </c>
      <c r="TSB19" s="175">
        <v>0.53</v>
      </c>
      <c r="TSC19" s="157" t="s">
        <v>67</v>
      </c>
      <c r="TSD19" s="157"/>
      <c r="TSE19" s="157"/>
      <c r="TSF19" s="173">
        <v>0.62</v>
      </c>
      <c r="TSG19" s="173">
        <v>0.61</v>
      </c>
      <c r="TSH19" s="173">
        <v>0.61</v>
      </c>
      <c r="TSI19" s="173">
        <v>0.61</v>
      </c>
      <c r="TSJ19" s="173">
        <v>0.6</v>
      </c>
      <c r="TSK19" s="174">
        <v>0.6</v>
      </c>
      <c r="TSL19" s="173">
        <v>0.6</v>
      </c>
      <c r="TSM19" s="174">
        <v>0.59</v>
      </c>
      <c r="TSN19" s="175">
        <v>0.59</v>
      </c>
      <c r="TSO19" s="175">
        <v>0.58</v>
      </c>
      <c r="TSP19" s="175">
        <v>0.57</v>
      </c>
      <c r="TSQ19" s="175">
        <v>0.55</v>
      </c>
      <c r="TSR19" s="175">
        <v>0.53</v>
      </c>
      <c r="TSS19" s="157" t="s">
        <v>67</v>
      </c>
      <c r="TST19" s="157"/>
      <c r="TSU19" s="157"/>
      <c r="TSV19" s="173">
        <v>0.62</v>
      </c>
      <c r="TSW19" s="173">
        <v>0.61</v>
      </c>
      <c r="TSX19" s="173">
        <v>0.61</v>
      </c>
      <c r="TSY19" s="173">
        <v>0.61</v>
      </c>
      <c r="TSZ19" s="173">
        <v>0.6</v>
      </c>
      <c r="TTA19" s="174">
        <v>0.6</v>
      </c>
      <c r="TTB19" s="173">
        <v>0.6</v>
      </c>
      <c r="TTC19" s="174">
        <v>0.59</v>
      </c>
      <c r="TTD19" s="175">
        <v>0.59</v>
      </c>
      <c r="TTE19" s="175">
        <v>0.58</v>
      </c>
      <c r="TTF19" s="175">
        <v>0.57</v>
      </c>
      <c r="TTG19" s="175">
        <v>0.55</v>
      </c>
      <c r="TTH19" s="175">
        <v>0.53</v>
      </c>
      <c r="TTI19" s="157" t="s">
        <v>67</v>
      </c>
      <c r="TTJ19" s="157"/>
      <c r="TTK19" s="157"/>
      <c r="TTL19" s="173">
        <v>0.62</v>
      </c>
      <c r="TTM19" s="173">
        <v>0.61</v>
      </c>
      <c r="TTN19" s="173">
        <v>0.61</v>
      </c>
      <c r="TTO19" s="173">
        <v>0.61</v>
      </c>
      <c r="TTP19" s="173">
        <v>0.6</v>
      </c>
      <c r="TTQ19" s="174">
        <v>0.6</v>
      </c>
      <c r="TTR19" s="173">
        <v>0.6</v>
      </c>
      <c r="TTS19" s="174">
        <v>0.59</v>
      </c>
      <c r="TTT19" s="175">
        <v>0.59</v>
      </c>
      <c r="TTU19" s="175">
        <v>0.58</v>
      </c>
      <c r="TTV19" s="175">
        <v>0.57</v>
      </c>
      <c r="TTW19" s="175">
        <v>0.55</v>
      </c>
      <c r="TTX19" s="175">
        <v>0.53</v>
      </c>
      <c r="TTY19" s="157" t="s">
        <v>67</v>
      </c>
      <c r="TTZ19" s="157"/>
      <c r="TUA19" s="157"/>
      <c r="TUB19" s="173">
        <v>0.62</v>
      </c>
      <c r="TUC19" s="173">
        <v>0.61</v>
      </c>
      <c r="TUD19" s="173">
        <v>0.61</v>
      </c>
      <c r="TUE19" s="173">
        <v>0.61</v>
      </c>
      <c r="TUF19" s="173">
        <v>0.6</v>
      </c>
      <c r="TUG19" s="174">
        <v>0.6</v>
      </c>
      <c r="TUH19" s="173">
        <v>0.6</v>
      </c>
      <c r="TUI19" s="174">
        <v>0.59</v>
      </c>
      <c r="TUJ19" s="175">
        <v>0.59</v>
      </c>
      <c r="TUK19" s="175">
        <v>0.58</v>
      </c>
      <c r="TUL19" s="175">
        <v>0.57</v>
      </c>
      <c r="TUM19" s="175">
        <v>0.55</v>
      </c>
      <c r="TUN19" s="175">
        <v>0.53</v>
      </c>
      <c r="TUO19" s="157" t="s">
        <v>67</v>
      </c>
      <c r="TUP19" s="157"/>
      <c r="TUQ19" s="157"/>
      <c r="TUR19" s="173">
        <v>0.62</v>
      </c>
      <c r="TUS19" s="173">
        <v>0.61</v>
      </c>
      <c r="TUT19" s="173">
        <v>0.61</v>
      </c>
      <c r="TUU19" s="173">
        <v>0.61</v>
      </c>
      <c r="TUV19" s="173">
        <v>0.6</v>
      </c>
      <c r="TUW19" s="174">
        <v>0.6</v>
      </c>
      <c r="TUX19" s="173">
        <v>0.6</v>
      </c>
      <c r="TUY19" s="174">
        <v>0.59</v>
      </c>
      <c r="TUZ19" s="175">
        <v>0.59</v>
      </c>
      <c r="TVA19" s="175">
        <v>0.58</v>
      </c>
      <c r="TVB19" s="175">
        <v>0.57</v>
      </c>
      <c r="TVC19" s="175">
        <v>0.55</v>
      </c>
      <c r="TVD19" s="175">
        <v>0.53</v>
      </c>
      <c r="TVE19" s="157" t="s">
        <v>67</v>
      </c>
      <c r="TVF19" s="157"/>
      <c r="TVG19" s="157"/>
      <c r="TVH19" s="173">
        <v>0.62</v>
      </c>
      <c r="TVI19" s="173">
        <v>0.61</v>
      </c>
      <c r="TVJ19" s="173">
        <v>0.61</v>
      </c>
      <c r="TVK19" s="173">
        <v>0.61</v>
      </c>
      <c r="TVL19" s="173">
        <v>0.6</v>
      </c>
      <c r="TVM19" s="174">
        <v>0.6</v>
      </c>
      <c r="TVN19" s="173">
        <v>0.6</v>
      </c>
      <c r="TVO19" s="174">
        <v>0.59</v>
      </c>
      <c r="TVP19" s="175">
        <v>0.59</v>
      </c>
      <c r="TVQ19" s="175">
        <v>0.58</v>
      </c>
      <c r="TVR19" s="175">
        <v>0.57</v>
      </c>
      <c r="TVS19" s="175">
        <v>0.55</v>
      </c>
      <c r="TVT19" s="175">
        <v>0.53</v>
      </c>
      <c r="TVU19" s="157" t="s">
        <v>67</v>
      </c>
      <c r="TVV19" s="157"/>
      <c r="TVW19" s="157"/>
      <c r="TVX19" s="173">
        <v>0.62</v>
      </c>
      <c r="TVY19" s="173">
        <v>0.61</v>
      </c>
      <c r="TVZ19" s="173">
        <v>0.61</v>
      </c>
      <c r="TWA19" s="173">
        <v>0.61</v>
      </c>
      <c r="TWB19" s="173">
        <v>0.6</v>
      </c>
      <c r="TWC19" s="174">
        <v>0.6</v>
      </c>
      <c r="TWD19" s="173">
        <v>0.6</v>
      </c>
      <c r="TWE19" s="174">
        <v>0.59</v>
      </c>
      <c r="TWF19" s="175">
        <v>0.59</v>
      </c>
      <c r="TWG19" s="175">
        <v>0.58</v>
      </c>
      <c r="TWH19" s="175">
        <v>0.57</v>
      </c>
      <c r="TWI19" s="175">
        <v>0.55</v>
      </c>
      <c r="TWJ19" s="175">
        <v>0.53</v>
      </c>
      <c r="TWK19" s="157" t="s">
        <v>67</v>
      </c>
      <c r="TWL19" s="157"/>
      <c r="TWM19" s="157"/>
      <c r="TWN19" s="173">
        <v>0.62</v>
      </c>
      <c r="TWO19" s="173">
        <v>0.61</v>
      </c>
      <c r="TWP19" s="173">
        <v>0.61</v>
      </c>
      <c r="TWQ19" s="173">
        <v>0.61</v>
      </c>
      <c r="TWR19" s="173">
        <v>0.6</v>
      </c>
      <c r="TWS19" s="174">
        <v>0.6</v>
      </c>
      <c r="TWT19" s="173">
        <v>0.6</v>
      </c>
      <c r="TWU19" s="174">
        <v>0.59</v>
      </c>
      <c r="TWV19" s="175">
        <v>0.59</v>
      </c>
      <c r="TWW19" s="175">
        <v>0.58</v>
      </c>
      <c r="TWX19" s="175">
        <v>0.57</v>
      </c>
      <c r="TWY19" s="175">
        <v>0.55</v>
      </c>
      <c r="TWZ19" s="175">
        <v>0.53</v>
      </c>
      <c r="TXA19" s="157" t="s">
        <v>67</v>
      </c>
      <c r="TXB19" s="157"/>
      <c r="TXC19" s="157"/>
      <c r="TXD19" s="173">
        <v>0.62</v>
      </c>
      <c r="TXE19" s="173">
        <v>0.61</v>
      </c>
      <c r="TXF19" s="173">
        <v>0.61</v>
      </c>
      <c r="TXG19" s="173">
        <v>0.61</v>
      </c>
      <c r="TXH19" s="173">
        <v>0.6</v>
      </c>
      <c r="TXI19" s="174">
        <v>0.6</v>
      </c>
      <c r="TXJ19" s="173">
        <v>0.6</v>
      </c>
      <c r="TXK19" s="174">
        <v>0.59</v>
      </c>
      <c r="TXL19" s="175">
        <v>0.59</v>
      </c>
      <c r="TXM19" s="175">
        <v>0.58</v>
      </c>
      <c r="TXN19" s="175">
        <v>0.57</v>
      </c>
      <c r="TXO19" s="175">
        <v>0.55</v>
      </c>
      <c r="TXP19" s="175">
        <v>0.53</v>
      </c>
      <c r="TXQ19" s="157" t="s">
        <v>67</v>
      </c>
      <c r="TXR19" s="157"/>
      <c r="TXS19" s="157"/>
      <c r="TXT19" s="173">
        <v>0.62</v>
      </c>
      <c r="TXU19" s="173">
        <v>0.61</v>
      </c>
      <c r="TXV19" s="173">
        <v>0.61</v>
      </c>
      <c r="TXW19" s="173">
        <v>0.61</v>
      </c>
      <c r="TXX19" s="173">
        <v>0.6</v>
      </c>
      <c r="TXY19" s="174">
        <v>0.6</v>
      </c>
      <c r="TXZ19" s="173">
        <v>0.6</v>
      </c>
      <c r="TYA19" s="174">
        <v>0.59</v>
      </c>
      <c r="TYB19" s="175">
        <v>0.59</v>
      </c>
      <c r="TYC19" s="175">
        <v>0.58</v>
      </c>
      <c r="TYD19" s="175">
        <v>0.57</v>
      </c>
      <c r="TYE19" s="175">
        <v>0.55</v>
      </c>
      <c r="TYF19" s="175">
        <v>0.53</v>
      </c>
      <c r="TYG19" s="157" t="s">
        <v>67</v>
      </c>
      <c r="TYH19" s="157"/>
      <c r="TYI19" s="157"/>
      <c r="TYJ19" s="173">
        <v>0.62</v>
      </c>
      <c r="TYK19" s="173">
        <v>0.61</v>
      </c>
      <c r="TYL19" s="173">
        <v>0.61</v>
      </c>
      <c r="TYM19" s="173">
        <v>0.61</v>
      </c>
      <c r="TYN19" s="173">
        <v>0.6</v>
      </c>
      <c r="TYO19" s="174">
        <v>0.6</v>
      </c>
      <c r="TYP19" s="173">
        <v>0.6</v>
      </c>
      <c r="TYQ19" s="174">
        <v>0.59</v>
      </c>
      <c r="TYR19" s="175">
        <v>0.59</v>
      </c>
      <c r="TYS19" s="175">
        <v>0.58</v>
      </c>
      <c r="TYT19" s="175">
        <v>0.57</v>
      </c>
      <c r="TYU19" s="175">
        <v>0.55</v>
      </c>
      <c r="TYV19" s="175">
        <v>0.53</v>
      </c>
      <c r="TYW19" s="157" t="s">
        <v>67</v>
      </c>
      <c r="TYX19" s="157"/>
      <c r="TYY19" s="157"/>
      <c r="TYZ19" s="173">
        <v>0.62</v>
      </c>
      <c r="TZA19" s="173">
        <v>0.61</v>
      </c>
      <c r="TZB19" s="173">
        <v>0.61</v>
      </c>
      <c r="TZC19" s="173">
        <v>0.61</v>
      </c>
      <c r="TZD19" s="173">
        <v>0.6</v>
      </c>
      <c r="TZE19" s="174">
        <v>0.6</v>
      </c>
      <c r="TZF19" s="173">
        <v>0.6</v>
      </c>
      <c r="TZG19" s="174">
        <v>0.59</v>
      </c>
      <c r="TZH19" s="175">
        <v>0.59</v>
      </c>
      <c r="TZI19" s="175">
        <v>0.58</v>
      </c>
      <c r="TZJ19" s="175">
        <v>0.57</v>
      </c>
      <c r="TZK19" s="175">
        <v>0.55</v>
      </c>
      <c r="TZL19" s="175">
        <v>0.53</v>
      </c>
      <c r="TZM19" s="157" t="s">
        <v>67</v>
      </c>
      <c r="TZN19" s="157"/>
      <c r="TZO19" s="157"/>
      <c r="TZP19" s="173">
        <v>0.62</v>
      </c>
      <c r="TZQ19" s="173">
        <v>0.61</v>
      </c>
      <c r="TZR19" s="173">
        <v>0.61</v>
      </c>
      <c r="TZS19" s="173">
        <v>0.61</v>
      </c>
      <c r="TZT19" s="173">
        <v>0.6</v>
      </c>
      <c r="TZU19" s="174">
        <v>0.6</v>
      </c>
      <c r="TZV19" s="173">
        <v>0.6</v>
      </c>
      <c r="TZW19" s="174">
        <v>0.59</v>
      </c>
      <c r="TZX19" s="175">
        <v>0.59</v>
      </c>
      <c r="TZY19" s="175">
        <v>0.58</v>
      </c>
      <c r="TZZ19" s="175">
        <v>0.57</v>
      </c>
      <c r="UAA19" s="175">
        <v>0.55</v>
      </c>
      <c r="UAB19" s="175">
        <v>0.53</v>
      </c>
      <c r="UAC19" s="157" t="s">
        <v>67</v>
      </c>
      <c r="UAD19" s="157"/>
      <c r="UAE19" s="157"/>
      <c r="UAF19" s="173">
        <v>0.62</v>
      </c>
      <c r="UAG19" s="173">
        <v>0.61</v>
      </c>
      <c r="UAH19" s="173">
        <v>0.61</v>
      </c>
      <c r="UAI19" s="173">
        <v>0.61</v>
      </c>
      <c r="UAJ19" s="173">
        <v>0.6</v>
      </c>
      <c r="UAK19" s="174">
        <v>0.6</v>
      </c>
      <c r="UAL19" s="173">
        <v>0.6</v>
      </c>
      <c r="UAM19" s="174">
        <v>0.59</v>
      </c>
      <c r="UAN19" s="175">
        <v>0.59</v>
      </c>
      <c r="UAO19" s="175">
        <v>0.58</v>
      </c>
      <c r="UAP19" s="175">
        <v>0.57</v>
      </c>
      <c r="UAQ19" s="175">
        <v>0.55</v>
      </c>
      <c r="UAR19" s="175">
        <v>0.53</v>
      </c>
      <c r="UAS19" s="157" t="s">
        <v>67</v>
      </c>
      <c r="UAT19" s="157"/>
      <c r="UAU19" s="157"/>
      <c r="UAV19" s="173">
        <v>0.62</v>
      </c>
      <c r="UAW19" s="173">
        <v>0.61</v>
      </c>
      <c r="UAX19" s="173">
        <v>0.61</v>
      </c>
      <c r="UAY19" s="173">
        <v>0.61</v>
      </c>
      <c r="UAZ19" s="173">
        <v>0.6</v>
      </c>
      <c r="UBA19" s="174">
        <v>0.6</v>
      </c>
      <c r="UBB19" s="173">
        <v>0.6</v>
      </c>
      <c r="UBC19" s="174">
        <v>0.59</v>
      </c>
      <c r="UBD19" s="175">
        <v>0.59</v>
      </c>
      <c r="UBE19" s="175">
        <v>0.58</v>
      </c>
      <c r="UBF19" s="175">
        <v>0.57</v>
      </c>
      <c r="UBG19" s="175">
        <v>0.55</v>
      </c>
      <c r="UBH19" s="175">
        <v>0.53</v>
      </c>
      <c r="UBI19" s="157" t="s">
        <v>67</v>
      </c>
      <c r="UBJ19" s="157"/>
      <c r="UBK19" s="157"/>
      <c r="UBL19" s="173">
        <v>0.62</v>
      </c>
      <c r="UBM19" s="173">
        <v>0.61</v>
      </c>
      <c r="UBN19" s="173">
        <v>0.61</v>
      </c>
      <c r="UBO19" s="173">
        <v>0.61</v>
      </c>
      <c r="UBP19" s="173">
        <v>0.6</v>
      </c>
      <c r="UBQ19" s="174">
        <v>0.6</v>
      </c>
      <c r="UBR19" s="173">
        <v>0.6</v>
      </c>
      <c r="UBS19" s="174">
        <v>0.59</v>
      </c>
      <c r="UBT19" s="175">
        <v>0.59</v>
      </c>
      <c r="UBU19" s="175">
        <v>0.58</v>
      </c>
      <c r="UBV19" s="175">
        <v>0.57</v>
      </c>
      <c r="UBW19" s="175">
        <v>0.55</v>
      </c>
      <c r="UBX19" s="175">
        <v>0.53</v>
      </c>
      <c r="UBY19" s="157" t="s">
        <v>67</v>
      </c>
      <c r="UBZ19" s="157"/>
      <c r="UCA19" s="157"/>
      <c r="UCB19" s="173">
        <v>0.62</v>
      </c>
      <c r="UCC19" s="173">
        <v>0.61</v>
      </c>
      <c r="UCD19" s="173">
        <v>0.61</v>
      </c>
      <c r="UCE19" s="173">
        <v>0.61</v>
      </c>
      <c r="UCF19" s="173">
        <v>0.6</v>
      </c>
      <c r="UCG19" s="174">
        <v>0.6</v>
      </c>
      <c r="UCH19" s="173">
        <v>0.6</v>
      </c>
      <c r="UCI19" s="174">
        <v>0.59</v>
      </c>
      <c r="UCJ19" s="175">
        <v>0.59</v>
      </c>
      <c r="UCK19" s="175">
        <v>0.58</v>
      </c>
      <c r="UCL19" s="175">
        <v>0.57</v>
      </c>
      <c r="UCM19" s="175">
        <v>0.55</v>
      </c>
      <c r="UCN19" s="175">
        <v>0.53</v>
      </c>
      <c r="UCO19" s="157" t="s">
        <v>67</v>
      </c>
      <c r="UCP19" s="157"/>
      <c r="UCQ19" s="157"/>
      <c r="UCR19" s="173">
        <v>0.62</v>
      </c>
      <c r="UCS19" s="173">
        <v>0.61</v>
      </c>
      <c r="UCT19" s="173">
        <v>0.61</v>
      </c>
      <c r="UCU19" s="173">
        <v>0.61</v>
      </c>
      <c r="UCV19" s="173">
        <v>0.6</v>
      </c>
      <c r="UCW19" s="174">
        <v>0.6</v>
      </c>
      <c r="UCX19" s="173">
        <v>0.6</v>
      </c>
      <c r="UCY19" s="174">
        <v>0.59</v>
      </c>
      <c r="UCZ19" s="175">
        <v>0.59</v>
      </c>
      <c r="UDA19" s="175">
        <v>0.58</v>
      </c>
      <c r="UDB19" s="175">
        <v>0.57</v>
      </c>
      <c r="UDC19" s="175">
        <v>0.55</v>
      </c>
      <c r="UDD19" s="175">
        <v>0.53</v>
      </c>
      <c r="UDE19" s="157" t="s">
        <v>67</v>
      </c>
      <c r="UDF19" s="157"/>
      <c r="UDG19" s="157"/>
      <c r="UDH19" s="173">
        <v>0.62</v>
      </c>
      <c r="UDI19" s="173">
        <v>0.61</v>
      </c>
      <c r="UDJ19" s="173">
        <v>0.61</v>
      </c>
      <c r="UDK19" s="173">
        <v>0.61</v>
      </c>
      <c r="UDL19" s="173">
        <v>0.6</v>
      </c>
      <c r="UDM19" s="174">
        <v>0.6</v>
      </c>
      <c r="UDN19" s="173">
        <v>0.6</v>
      </c>
      <c r="UDO19" s="174">
        <v>0.59</v>
      </c>
      <c r="UDP19" s="175">
        <v>0.59</v>
      </c>
      <c r="UDQ19" s="175">
        <v>0.58</v>
      </c>
      <c r="UDR19" s="175">
        <v>0.57</v>
      </c>
      <c r="UDS19" s="175">
        <v>0.55</v>
      </c>
      <c r="UDT19" s="175">
        <v>0.53</v>
      </c>
      <c r="UDU19" s="157" t="s">
        <v>67</v>
      </c>
      <c r="UDV19" s="157"/>
      <c r="UDW19" s="157"/>
      <c r="UDX19" s="173">
        <v>0.62</v>
      </c>
      <c r="UDY19" s="173">
        <v>0.61</v>
      </c>
      <c r="UDZ19" s="173">
        <v>0.61</v>
      </c>
      <c r="UEA19" s="173">
        <v>0.61</v>
      </c>
      <c r="UEB19" s="173">
        <v>0.6</v>
      </c>
      <c r="UEC19" s="174">
        <v>0.6</v>
      </c>
      <c r="UED19" s="173">
        <v>0.6</v>
      </c>
      <c r="UEE19" s="174">
        <v>0.59</v>
      </c>
      <c r="UEF19" s="175">
        <v>0.59</v>
      </c>
      <c r="UEG19" s="175">
        <v>0.58</v>
      </c>
      <c r="UEH19" s="175">
        <v>0.57</v>
      </c>
      <c r="UEI19" s="175">
        <v>0.55</v>
      </c>
      <c r="UEJ19" s="175">
        <v>0.53</v>
      </c>
      <c r="UEK19" s="157" t="s">
        <v>67</v>
      </c>
      <c r="UEL19" s="157"/>
      <c r="UEM19" s="157"/>
      <c r="UEN19" s="173">
        <v>0.62</v>
      </c>
      <c r="UEO19" s="173">
        <v>0.61</v>
      </c>
      <c r="UEP19" s="173">
        <v>0.61</v>
      </c>
      <c r="UEQ19" s="173">
        <v>0.61</v>
      </c>
      <c r="UER19" s="173">
        <v>0.6</v>
      </c>
      <c r="UES19" s="174">
        <v>0.6</v>
      </c>
      <c r="UET19" s="173">
        <v>0.6</v>
      </c>
      <c r="UEU19" s="174">
        <v>0.59</v>
      </c>
      <c r="UEV19" s="175">
        <v>0.59</v>
      </c>
      <c r="UEW19" s="175">
        <v>0.58</v>
      </c>
      <c r="UEX19" s="175">
        <v>0.57</v>
      </c>
      <c r="UEY19" s="175">
        <v>0.55</v>
      </c>
      <c r="UEZ19" s="175">
        <v>0.53</v>
      </c>
      <c r="UFA19" s="157" t="s">
        <v>67</v>
      </c>
      <c r="UFB19" s="157"/>
      <c r="UFC19" s="157"/>
      <c r="UFD19" s="173">
        <v>0.62</v>
      </c>
      <c r="UFE19" s="173">
        <v>0.61</v>
      </c>
      <c r="UFF19" s="173">
        <v>0.61</v>
      </c>
      <c r="UFG19" s="173">
        <v>0.61</v>
      </c>
      <c r="UFH19" s="173">
        <v>0.6</v>
      </c>
      <c r="UFI19" s="174">
        <v>0.6</v>
      </c>
      <c r="UFJ19" s="173">
        <v>0.6</v>
      </c>
      <c r="UFK19" s="174">
        <v>0.59</v>
      </c>
      <c r="UFL19" s="175">
        <v>0.59</v>
      </c>
      <c r="UFM19" s="175">
        <v>0.58</v>
      </c>
      <c r="UFN19" s="175">
        <v>0.57</v>
      </c>
      <c r="UFO19" s="175">
        <v>0.55</v>
      </c>
      <c r="UFP19" s="175">
        <v>0.53</v>
      </c>
      <c r="UFQ19" s="157" t="s">
        <v>67</v>
      </c>
      <c r="UFR19" s="157"/>
      <c r="UFS19" s="157"/>
      <c r="UFT19" s="173">
        <v>0.62</v>
      </c>
      <c r="UFU19" s="173">
        <v>0.61</v>
      </c>
      <c r="UFV19" s="173">
        <v>0.61</v>
      </c>
      <c r="UFW19" s="173">
        <v>0.61</v>
      </c>
      <c r="UFX19" s="173">
        <v>0.6</v>
      </c>
      <c r="UFY19" s="174">
        <v>0.6</v>
      </c>
      <c r="UFZ19" s="173">
        <v>0.6</v>
      </c>
      <c r="UGA19" s="174">
        <v>0.59</v>
      </c>
      <c r="UGB19" s="175">
        <v>0.59</v>
      </c>
      <c r="UGC19" s="175">
        <v>0.58</v>
      </c>
      <c r="UGD19" s="175">
        <v>0.57</v>
      </c>
      <c r="UGE19" s="175">
        <v>0.55</v>
      </c>
      <c r="UGF19" s="175">
        <v>0.53</v>
      </c>
      <c r="UGG19" s="157" t="s">
        <v>67</v>
      </c>
      <c r="UGH19" s="157"/>
      <c r="UGI19" s="157"/>
      <c r="UGJ19" s="173">
        <v>0.62</v>
      </c>
      <c r="UGK19" s="173">
        <v>0.61</v>
      </c>
      <c r="UGL19" s="173">
        <v>0.61</v>
      </c>
      <c r="UGM19" s="173">
        <v>0.61</v>
      </c>
      <c r="UGN19" s="173">
        <v>0.6</v>
      </c>
      <c r="UGO19" s="174">
        <v>0.6</v>
      </c>
      <c r="UGP19" s="173">
        <v>0.6</v>
      </c>
      <c r="UGQ19" s="174">
        <v>0.59</v>
      </c>
      <c r="UGR19" s="175">
        <v>0.59</v>
      </c>
      <c r="UGS19" s="175">
        <v>0.58</v>
      </c>
      <c r="UGT19" s="175">
        <v>0.57</v>
      </c>
      <c r="UGU19" s="175">
        <v>0.55</v>
      </c>
      <c r="UGV19" s="175">
        <v>0.53</v>
      </c>
      <c r="UGW19" s="157" t="s">
        <v>67</v>
      </c>
      <c r="UGX19" s="157"/>
      <c r="UGY19" s="157"/>
      <c r="UGZ19" s="173">
        <v>0.62</v>
      </c>
      <c r="UHA19" s="173">
        <v>0.61</v>
      </c>
      <c r="UHB19" s="173">
        <v>0.61</v>
      </c>
      <c r="UHC19" s="173">
        <v>0.61</v>
      </c>
      <c r="UHD19" s="173">
        <v>0.6</v>
      </c>
      <c r="UHE19" s="174">
        <v>0.6</v>
      </c>
      <c r="UHF19" s="173">
        <v>0.6</v>
      </c>
      <c r="UHG19" s="174">
        <v>0.59</v>
      </c>
      <c r="UHH19" s="175">
        <v>0.59</v>
      </c>
      <c r="UHI19" s="175">
        <v>0.58</v>
      </c>
      <c r="UHJ19" s="175">
        <v>0.57</v>
      </c>
      <c r="UHK19" s="175">
        <v>0.55</v>
      </c>
      <c r="UHL19" s="175">
        <v>0.53</v>
      </c>
      <c r="UHM19" s="157" t="s">
        <v>67</v>
      </c>
      <c r="UHN19" s="157"/>
      <c r="UHO19" s="157"/>
      <c r="UHP19" s="173">
        <v>0.62</v>
      </c>
      <c r="UHQ19" s="173">
        <v>0.61</v>
      </c>
      <c r="UHR19" s="173">
        <v>0.61</v>
      </c>
      <c r="UHS19" s="173">
        <v>0.61</v>
      </c>
      <c r="UHT19" s="173">
        <v>0.6</v>
      </c>
      <c r="UHU19" s="174">
        <v>0.6</v>
      </c>
      <c r="UHV19" s="173">
        <v>0.6</v>
      </c>
      <c r="UHW19" s="174">
        <v>0.59</v>
      </c>
      <c r="UHX19" s="175">
        <v>0.59</v>
      </c>
      <c r="UHY19" s="175">
        <v>0.58</v>
      </c>
      <c r="UHZ19" s="175">
        <v>0.57</v>
      </c>
      <c r="UIA19" s="175">
        <v>0.55</v>
      </c>
      <c r="UIB19" s="175">
        <v>0.53</v>
      </c>
      <c r="UIC19" s="157" t="s">
        <v>67</v>
      </c>
      <c r="UID19" s="157"/>
      <c r="UIE19" s="157"/>
      <c r="UIF19" s="173">
        <v>0.62</v>
      </c>
      <c r="UIG19" s="173">
        <v>0.61</v>
      </c>
      <c r="UIH19" s="173">
        <v>0.61</v>
      </c>
      <c r="UII19" s="173">
        <v>0.61</v>
      </c>
      <c r="UIJ19" s="173">
        <v>0.6</v>
      </c>
      <c r="UIK19" s="174">
        <v>0.6</v>
      </c>
      <c r="UIL19" s="173">
        <v>0.6</v>
      </c>
      <c r="UIM19" s="174">
        <v>0.59</v>
      </c>
      <c r="UIN19" s="175">
        <v>0.59</v>
      </c>
      <c r="UIO19" s="175">
        <v>0.58</v>
      </c>
      <c r="UIP19" s="175">
        <v>0.57</v>
      </c>
      <c r="UIQ19" s="175">
        <v>0.55</v>
      </c>
      <c r="UIR19" s="175">
        <v>0.53</v>
      </c>
      <c r="UIS19" s="157" t="s">
        <v>67</v>
      </c>
      <c r="UIT19" s="157"/>
      <c r="UIU19" s="157"/>
      <c r="UIV19" s="173">
        <v>0.62</v>
      </c>
      <c r="UIW19" s="173">
        <v>0.61</v>
      </c>
      <c r="UIX19" s="173">
        <v>0.61</v>
      </c>
      <c r="UIY19" s="173">
        <v>0.61</v>
      </c>
      <c r="UIZ19" s="173">
        <v>0.6</v>
      </c>
      <c r="UJA19" s="174">
        <v>0.6</v>
      </c>
      <c r="UJB19" s="173">
        <v>0.6</v>
      </c>
      <c r="UJC19" s="174">
        <v>0.59</v>
      </c>
      <c r="UJD19" s="175">
        <v>0.59</v>
      </c>
      <c r="UJE19" s="175">
        <v>0.58</v>
      </c>
      <c r="UJF19" s="175">
        <v>0.57</v>
      </c>
      <c r="UJG19" s="175">
        <v>0.55</v>
      </c>
      <c r="UJH19" s="175">
        <v>0.53</v>
      </c>
      <c r="UJI19" s="157" t="s">
        <v>67</v>
      </c>
      <c r="UJJ19" s="157"/>
      <c r="UJK19" s="157"/>
      <c r="UJL19" s="173">
        <v>0.62</v>
      </c>
      <c r="UJM19" s="173">
        <v>0.61</v>
      </c>
      <c r="UJN19" s="173">
        <v>0.61</v>
      </c>
      <c r="UJO19" s="173">
        <v>0.61</v>
      </c>
      <c r="UJP19" s="173">
        <v>0.6</v>
      </c>
      <c r="UJQ19" s="174">
        <v>0.6</v>
      </c>
      <c r="UJR19" s="173">
        <v>0.6</v>
      </c>
      <c r="UJS19" s="174">
        <v>0.59</v>
      </c>
      <c r="UJT19" s="175">
        <v>0.59</v>
      </c>
      <c r="UJU19" s="175">
        <v>0.58</v>
      </c>
      <c r="UJV19" s="175">
        <v>0.57</v>
      </c>
      <c r="UJW19" s="175">
        <v>0.55</v>
      </c>
      <c r="UJX19" s="175">
        <v>0.53</v>
      </c>
      <c r="UJY19" s="157" t="s">
        <v>67</v>
      </c>
      <c r="UJZ19" s="157"/>
      <c r="UKA19" s="157"/>
      <c r="UKB19" s="173">
        <v>0.62</v>
      </c>
      <c r="UKC19" s="173">
        <v>0.61</v>
      </c>
      <c r="UKD19" s="173">
        <v>0.61</v>
      </c>
      <c r="UKE19" s="173">
        <v>0.61</v>
      </c>
      <c r="UKF19" s="173">
        <v>0.6</v>
      </c>
      <c r="UKG19" s="174">
        <v>0.6</v>
      </c>
      <c r="UKH19" s="173">
        <v>0.6</v>
      </c>
      <c r="UKI19" s="174">
        <v>0.59</v>
      </c>
      <c r="UKJ19" s="175">
        <v>0.59</v>
      </c>
      <c r="UKK19" s="175">
        <v>0.58</v>
      </c>
      <c r="UKL19" s="175">
        <v>0.57</v>
      </c>
      <c r="UKM19" s="175">
        <v>0.55</v>
      </c>
      <c r="UKN19" s="175">
        <v>0.53</v>
      </c>
      <c r="UKO19" s="157" t="s">
        <v>67</v>
      </c>
      <c r="UKP19" s="157"/>
      <c r="UKQ19" s="157"/>
      <c r="UKR19" s="173">
        <v>0.62</v>
      </c>
      <c r="UKS19" s="173">
        <v>0.61</v>
      </c>
      <c r="UKT19" s="173">
        <v>0.61</v>
      </c>
      <c r="UKU19" s="173">
        <v>0.61</v>
      </c>
      <c r="UKV19" s="173">
        <v>0.6</v>
      </c>
      <c r="UKW19" s="174">
        <v>0.6</v>
      </c>
      <c r="UKX19" s="173">
        <v>0.6</v>
      </c>
      <c r="UKY19" s="174">
        <v>0.59</v>
      </c>
      <c r="UKZ19" s="175">
        <v>0.59</v>
      </c>
      <c r="ULA19" s="175">
        <v>0.58</v>
      </c>
      <c r="ULB19" s="175">
        <v>0.57</v>
      </c>
      <c r="ULC19" s="175">
        <v>0.55</v>
      </c>
      <c r="ULD19" s="175">
        <v>0.53</v>
      </c>
      <c r="ULE19" s="157" t="s">
        <v>67</v>
      </c>
      <c r="ULF19" s="157"/>
      <c r="ULG19" s="157"/>
      <c r="ULH19" s="173">
        <v>0.62</v>
      </c>
      <c r="ULI19" s="173">
        <v>0.61</v>
      </c>
      <c r="ULJ19" s="173">
        <v>0.61</v>
      </c>
      <c r="ULK19" s="173">
        <v>0.61</v>
      </c>
      <c r="ULL19" s="173">
        <v>0.6</v>
      </c>
      <c r="ULM19" s="174">
        <v>0.6</v>
      </c>
      <c r="ULN19" s="173">
        <v>0.6</v>
      </c>
      <c r="ULO19" s="174">
        <v>0.59</v>
      </c>
      <c r="ULP19" s="175">
        <v>0.59</v>
      </c>
      <c r="ULQ19" s="175">
        <v>0.58</v>
      </c>
      <c r="ULR19" s="175">
        <v>0.57</v>
      </c>
      <c r="ULS19" s="175">
        <v>0.55</v>
      </c>
      <c r="ULT19" s="175">
        <v>0.53</v>
      </c>
      <c r="ULU19" s="157" t="s">
        <v>67</v>
      </c>
      <c r="ULV19" s="157"/>
      <c r="ULW19" s="157"/>
      <c r="ULX19" s="173">
        <v>0.62</v>
      </c>
      <c r="ULY19" s="173">
        <v>0.61</v>
      </c>
      <c r="ULZ19" s="173">
        <v>0.61</v>
      </c>
      <c r="UMA19" s="173">
        <v>0.61</v>
      </c>
      <c r="UMB19" s="173">
        <v>0.6</v>
      </c>
      <c r="UMC19" s="174">
        <v>0.6</v>
      </c>
      <c r="UMD19" s="173">
        <v>0.6</v>
      </c>
      <c r="UME19" s="174">
        <v>0.59</v>
      </c>
      <c r="UMF19" s="175">
        <v>0.59</v>
      </c>
      <c r="UMG19" s="175">
        <v>0.58</v>
      </c>
      <c r="UMH19" s="175">
        <v>0.57</v>
      </c>
      <c r="UMI19" s="175">
        <v>0.55</v>
      </c>
      <c r="UMJ19" s="175">
        <v>0.53</v>
      </c>
      <c r="UMK19" s="157" t="s">
        <v>67</v>
      </c>
      <c r="UML19" s="157"/>
      <c r="UMM19" s="157"/>
      <c r="UMN19" s="173">
        <v>0.62</v>
      </c>
      <c r="UMO19" s="173">
        <v>0.61</v>
      </c>
      <c r="UMP19" s="173">
        <v>0.61</v>
      </c>
      <c r="UMQ19" s="173">
        <v>0.61</v>
      </c>
      <c r="UMR19" s="173">
        <v>0.6</v>
      </c>
      <c r="UMS19" s="174">
        <v>0.6</v>
      </c>
      <c r="UMT19" s="173">
        <v>0.6</v>
      </c>
      <c r="UMU19" s="174">
        <v>0.59</v>
      </c>
      <c r="UMV19" s="175">
        <v>0.59</v>
      </c>
      <c r="UMW19" s="175">
        <v>0.58</v>
      </c>
      <c r="UMX19" s="175">
        <v>0.57</v>
      </c>
      <c r="UMY19" s="175">
        <v>0.55</v>
      </c>
      <c r="UMZ19" s="175">
        <v>0.53</v>
      </c>
      <c r="UNA19" s="157" t="s">
        <v>67</v>
      </c>
      <c r="UNB19" s="157"/>
      <c r="UNC19" s="157"/>
      <c r="UND19" s="173">
        <v>0.62</v>
      </c>
      <c r="UNE19" s="173">
        <v>0.61</v>
      </c>
      <c r="UNF19" s="173">
        <v>0.61</v>
      </c>
      <c r="UNG19" s="173">
        <v>0.61</v>
      </c>
      <c r="UNH19" s="173">
        <v>0.6</v>
      </c>
      <c r="UNI19" s="174">
        <v>0.6</v>
      </c>
      <c r="UNJ19" s="173">
        <v>0.6</v>
      </c>
      <c r="UNK19" s="174">
        <v>0.59</v>
      </c>
      <c r="UNL19" s="175">
        <v>0.59</v>
      </c>
      <c r="UNM19" s="175">
        <v>0.58</v>
      </c>
      <c r="UNN19" s="175">
        <v>0.57</v>
      </c>
      <c r="UNO19" s="175">
        <v>0.55</v>
      </c>
      <c r="UNP19" s="175">
        <v>0.53</v>
      </c>
      <c r="UNQ19" s="157" t="s">
        <v>67</v>
      </c>
      <c r="UNR19" s="157"/>
      <c r="UNS19" s="157"/>
      <c r="UNT19" s="173">
        <v>0.62</v>
      </c>
      <c r="UNU19" s="173">
        <v>0.61</v>
      </c>
      <c r="UNV19" s="173">
        <v>0.61</v>
      </c>
      <c r="UNW19" s="173">
        <v>0.61</v>
      </c>
      <c r="UNX19" s="173">
        <v>0.6</v>
      </c>
      <c r="UNY19" s="174">
        <v>0.6</v>
      </c>
      <c r="UNZ19" s="173">
        <v>0.6</v>
      </c>
      <c r="UOA19" s="174">
        <v>0.59</v>
      </c>
      <c r="UOB19" s="175">
        <v>0.59</v>
      </c>
      <c r="UOC19" s="175">
        <v>0.58</v>
      </c>
      <c r="UOD19" s="175">
        <v>0.57</v>
      </c>
      <c r="UOE19" s="175">
        <v>0.55</v>
      </c>
      <c r="UOF19" s="175">
        <v>0.53</v>
      </c>
      <c r="UOG19" s="157" t="s">
        <v>67</v>
      </c>
      <c r="UOH19" s="157"/>
      <c r="UOI19" s="157"/>
      <c r="UOJ19" s="173">
        <v>0.62</v>
      </c>
      <c r="UOK19" s="173">
        <v>0.61</v>
      </c>
      <c r="UOL19" s="173">
        <v>0.61</v>
      </c>
      <c r="UOM19" s="173">
        <v>0.61</v>
      </c>
      <c r="UON19" s="173">
        <v>0.6</v>
      </c>
      <c r="UOO19" s="174">
        <v>0.6</v>
      </c>
      <c r="UOP19" s="173">
        <v>0.6</v>
      </c>
      <c r="UOQ19" s="174">
        <v>0.59</v>
      </c>
      <c r="UOR19" s="175">
        <v>0.59</v>
      </c>
      <c r="UOS19" s="175">
        <v>0.58</v>
      </c>
      <c r="UOT19" s="175">
        <v>0.57</v>
      </c>
      <c r="UOU19" s="175">
        <v>0.55</v>
      </c>
      <c r="UOV19" s="175">
        <v>0.53</v>
      </c>
      <c r="UOW19" s="157" t="s">
        <v>67</v>
      </c>
      <c r="UOX19" s="157"/>
      <c r="UOY19" s="157"/>
      <c r="UOZ19" s="173">
        <v>0.62</v>
      </c>
      <c r="UPA19" s="173">
        <v>0.61</v>
      </c>
      <c r="UPB19" s="173">
        <v>0.61</v>
      </c>
      <c r="UPC19" s="173">
        <v>0.61</v>
      </c>
      <c r="UPD19" s="173">
        <v>0.6</v>
      </c>
      <c r="UPE19" s="174">
        <v>0.6</v>
      </c>
      <c r="UPF19" s="173">
        <v>0.6</v>
      </c>
      <c r="UPG19" s="174">
        <v>0.59</v>
      </c>
      <c r="UPH19" s="175">
        <v>0.59</v>
      </c>
      <c r="UPI19" s="175">
        <v>0.58</v>
      </c>
      <c r="UPJ19" s="175">
        <v>0.57</v>
      </c>
      <c r="UPK19" s="175">
        <v>0.55</v>
      </c>
      <c r="UPL19" s="175">
        <v>0.53</v>
      </c>
      <c r="UPM19" s="157" t="s">
        <v>67</v>
      </c>
      <c r="UPN19" s="157"/>
      <c r="UPO19" s="157"/>
      <c r="UPP19" s="173">
        <v>0.62</v>
      </c>
      <c r="UPQ19" s="173">
        <v>0.61</v>
      </c>
      <c r="UPR19" s="173">
        <v>0.61</v>
      </c>
      <c r="UPS19" s="173">
        <v>0.61</v>
      </c>
      <c r="UPT19" s="173">
        <v>0.6</v>
      </c>
      <c r="UPU19" s="174">
        <v>0.6</v>
      </c>
      <c r="UPV19" s="173">
        <v>0.6</v>
      </c>
      <c r="UPW19" s="174">
        <v>0.59</v>
      </c>
      <c r="UPX19" s="175">
        <v>0.59</v>
      </c>
      <c r="UPY19" s="175">
        <v>0.58</v>
      </c>
      <c r="UPZ19" s="175">
        <v>0.57</v>
      </c>
      <c r="UQA19" s="175">
        <v>0.55</v>
      </c>
      <c r="UQB19" s="175">
        <v>0.53</v>
      </c>
      <c r="UQC19" s="157" t="s">
        <v>67</v>
      </c>
      <c r="UQD19" s="157"/>
      <c r="UQE19" s="157"/>
      <c r="UQF19" s="173">
        <v>0.62</v>
      </c>
      <c r="UQG19" s="173">
        <v>0.61</v>
      </c>
      <c r="UQH19" s="173">
        <v>0.61</v>
      </c>
      <c r="UQI19" s="173">
        <v>0.61</v>
      </c>
      <c r="UQJ19" s="173">
        <v>0.6</v>
      </c>
      <c r="UQK19" s="174">
        <v>0.6</v>
      </c>
      <c r="UQL19" s="173">
        <v>0.6</v>
      </c>
      <c r="UQM19" s="174">
        <v>0.59</v>
      </c>
      <c r="UQN19" s="175">
        <v>0.59</v>
      </c>
      <c r="UQO19" s="175">
        <v>0.58</v>
      </c>
      <c r="UQP19" s="175">
        <v>0.57</v>
      </c>
      <c r="UQQ19" s="175">
        <v>0.55</v>
      </c>
      <c r="UQR19" s="175">
        <v>0.53</v>
      </c>
      <c r="UQS19" s="157" t="s">
        <v>67</v>
      </c>
      <c r="UQT19" s="157"/>
      <c r="UQU19" s="157"/>
      <c r="UQV19" s="173">
        <v>0.62</v>
      </c>
      <c r="UQW19" s="173">
        <v>0.61</v>
      </c>
      <c r="UQX19" s="173">
        <v>0.61</v>
      </c>
      <c r="UQY19" s="173">
        <v>0.61</v>
      </c>
      <c r="UQZ19" s="173">
        <v>0.6</v>
      </c>
      <c r="URA19" s="174">
        <v>0.6</v>
      </c>
      <c r="URB19" s="173">
        <v>0.6</v>
      </c>
      <c r="URC19" s="174">
        <v>0.59</v>
      </c>
      <c r="URD19" s="175">
        <v>0.59</v>
      </c>
      <c r="URE19" s="175">
        <v>0.58</v>
      </c>
      <c r="URF19" s="175">
        <v>0.57</v>
      </c>
      <c r="URG19" s="175">
        <v>0.55</v>
      </c>
      <c r="URH19" s="175">
        <v>0.53</v>
      </c>
      <c r="URI19" s="157" t="s">
        <v>67</v>
      </c>
      <c r="URJ19" s="157"/>
      <c r="URK19" s="157"/>
      <c r="URL19" s="173">
        <v>0.62</v>
      </c>
      <c r="URM19" s="173">
        <v>0.61</v>
      </c>
      <c r="URN19" s="173">
        <v>0.61</v>
      </c>
      <c r="URO19" s="173">
        <v>0.61</v>
      </c>
      <c r="URP19" s="173">
        <v>0.6</v>
      </c>
      <c r="URQ19" s="174">
        <v>0.6</v>
      </c>
      <c r="URR19" s="173">
        <v>0.6</v>
      </c>
      <c r="URS19" s="174">
        <v>0.59</v>
      </c>
      <c r="URT19" s="175">
        <v>0.59</v>
      </c>
      <c r="URU19" s="175">
        <v>0.58</v>
      </c>
      <c r="URV19" s="175">
        <v>0.57</v>
      </c>
      <c r="URW19" s="175">
        <v>0.55</v>
      </c>
      <c r="URX19" s="175">
        <v>0.53</v>
      </c>
      <c r="URY19" s="157" t="s">
        <v>67</v>
      </c>
      <c r="URZ19" s="157"/>
      <c r="USA19" s="157"/>
      <c r="USB19" s="173">
        <v>0.62</v>
      </c>
      <c r="USC19" s="173">
        <v>0.61</v>
      </c>
      <c r="USD19" s="173">
        <v>0.61</v>
      </c>
      <c r="USE19" s="173">
        <v>0.61</v>
      </c>
      <c r="USF19" s="173">
        <v>0.6</v>
      </c>
      <c r="USG19" s="174">
        <v>0.6</v>
      </c>
      <c r="USH19" s="173">
        <v>0.6</v>
      </c>
      <c r="USI19" s="174">
        <v>0.59</v>
      </c>
      <c r="USJ19" s="175">
        <v>0.59</v>
      </c>
      <c r="USK19" s="175">
        <v>0.58</v>
      </c>
      <c r="USL19" s="175">
        <v>0.57</v>
      </c>
      <c r="USM19" s="175">
        <v>0.55</v>
      </c>
      <c r="USN19" s="175">
        <v>0.53</v>
      </c>
      <c r="USO19" s="157" t="s">
        <v>67</v>
      </c>
      <c r="USP19" s="157"/>
      <c r="USQ19" s="157"/>
      <c r="USR19" s="173">
        <v>0.62</v>
      </c>
      <c r="USS19" s="173">
        <v>0.61</v>
      </c>
      <c r="UST19" s="173">
        <v>0.61</v>
      </c>
      <c r="USU19" s="173">
        <v>0.61</v>
      </c>
      <c r="USV19" s="173">
        <v>0.6</v>
      </c>
      <c r="USW19" s="174">
        <v>0.6</v>
      </c>
      <c r="USX19" s="173">
        <v>0.6</v>
      </c>
      <c r="USY19" s="174">
        <v>0.59</v>
      </c>
      <c r="USZ19" s="175">
        <v>0.59</v>
      </c>
      <c r="UTA19" s="175">
        <v>0.58</v>
      </c>
      <c r="UTB19" s="175">
        <v>0.57</v>
      </c>
      <c r="UTC19" s="175">
        <v>0.55</v>
      </c>
      <c r="UTD19" s="175">
        <v>0.53</v>
      </c>
      <c r="UTE19" s="157" t="s">
        <v>67</v>
      </c>
      <c r="UTF19" s="157"/>
      <c r="UTG19" s="157"/>
      <c r="UTH19" s="173">
        <v>0.62</v>
      </c>
      <c r="UTI19" s="173">
        <v>0.61</v>
      </c>
      <c r="UTJ19" s="173">
        <v>0.61</v>
      </c>
      <c r="UTK19" s="173">
        <v>0.61</v>
      </c>
      <c r="UTL19" s="173">
        <v>0.6</v>
      </c>
      <c r="UTM19" s="174">
        <v>0.6</v>
      </c>
      <c r="UTN19" s="173">
        <v>0.6</v>
      </c>
      <c r="UTO19" s="174">
        <v>0.59</v>
      </c>
      <c r="UTP19" s="175">
        <v>0.59</v>
      </c>
      <c r="UTQ19" s="175">
        <v>0.58</v>
      </c>
      <c r="UTR19" s="175">
        <v>0.57</v>
      </c>
      <c r="UTS19" s="175">
        <v>0.55</v>
      </c>
      <c r="UTT19" s="175">
        <v>0.53</v>
      </c>
      <c r="UTU19" s="157" t="s">
        <v>67</v>
      </c>
      <c r="UTV19" s="157"/>
      <c r="UTW19" s="157"/>
      <c r="UTX19" s="173">
        <v>0.62</v>
      </c>
      <c r="UTY19" s="173">
        <v>0.61</v>
      </c>
      <c r="UTZ19" s="173">
        <v>0.61</v>
      </c>
      <c r="UUA19" s="173">
        <v>0.61</v>
      </c>
      <c r="UUB19" s="173">
        <v>0.6</v>
      </c>
      <c r="UUC19" s="174">
        <v>0.6</v>
      </c>
      <c r="UUD19" s="173">
        <v>0.6</v>
      </c>
      <c r="UUE19" s="174">
        <v>0.59</v>
      </c>
      <c r="UUF19" s="175">
        <v>0.59</v>
      </c>
      <c r="UUG19" s="175">
        <v>0.58</v>
      </c>
      <c r="UUH19" s="175">
        <v>0.57</v>
      </c>
      <c r="UUI19" s="175">
        <v>0.55</v>
      </c>
      <c r="UUJ19" s="175">
        <v>0.53</v>
      </c>
      <c r="UUK19" s="157" t="s">
        <v>67</v>
      </c>
      <c r="UUL19" s="157"/>
      <c r="UUM19" s="157"/>
      <c r="UUN19" s="173">
        <v>0.62</v>
      </c>
      <c r="UUO19" s="173">
        <v>0.61</v>
      </c>
      <c r="UUP19" s="173">
        <v>0.61</v>
      </c>
      <c r="UUQ19" s="173">
        <v>0.61</v>
      </c>
      <c r="UUR19" s="173">
        <v>0.6</v>
      </c>
      <c r="UUS19" s="174">
        <v>0.6</v>
      </c>
      <c r="UUT19" s="173">
        <v>0.6</v>
      </c>
      <c r="UUU19" s="174">
        <v>0.59</v>
      </c>
      <c r="UUV19" s="175">
        <v>0.59</v>
      </c>
      <c r="UUW19" s="175">
        <v>0.58</v>
      </c>
      <c r="UUX19" s="175">
        <v>0.57</v>
      </c>
      <c r="UUY19" s="175">
        <v>0.55</v>
      </c>
      <c r="UUZ19" s="175">
        <v>0.53</v>
      </c>
      <c r="UVA19" s="157" t="s">
        <v>67</v>
      </c>
      <c r="UVB19" s="157"/>
      <c r="UVC19" s="157"/>
      <c r="UVD19" s="173">
        <v>0.62</v>
      </c>
      <c r="UVE19" s="173">
        <v>0.61</v>
      </c>
      <c r="UVF19" s="173">
        <v>0.61</v>
      </c>
      <c r="UVG19" s="173">
        <v>0.61</v>
      </c>
      <c r="UVH19" s="173">
        <v>0.6</v>
      </c>
      <c r="UVI19" s="174">
        <v>0.6</v>
      </c>
      <c r="UVJ19" s="173">
        <v>0.6</v>
      </c>
      <c r="UVK19" s="174">
        <v>0.59</v>
      </c>
      <c r="UVL19" s="175">
        <v>0.59</v>
      </c>
      <c r="UVM19" s="175">
        <v>0.58</v>
      </c>
      <c r="UVN19" s="175">
        <v>0.57</v>
      </c>
      <c r="UVO19" s="175">
        <v>0.55</v>
      </c>
      <c r="UVP19" s="175">
        <v>0.53</v>
      </c>
      <c r="UVQ19" s="157" t="s">
        <v>67</v>
      </c>
      <c r="UVR19" s="157"/>
      <c r="UVS19" s="157"/>
      <c r="UVT19" s="173">
        <v>0.62</v>
      </c>
      <c r="UVU19" s="173">
        <v>0.61</v>
      </c>
      <c r="UVV19" s="173">
        <v>0.61</v>
      </c>
      <c r="UVW19" s="173">
        <v>0.61</v>
      </c>
      <c r="UVX19" s="173">
        <v>0.6</v>
      </c>
      <c r="UVY19" s="174">
        <v>0.6</v>
      </c>
      <c r="UVZ19" s="173">
        <v>0.6</v>
      </c>
      <c r="UWA19" s="174">
        <v>0.59</v>
      </c>
      <c r="UWB19" s="175">
        <v>0.59</v>
      </c>
      <c r="UWC19" s="175">
        <v>0.58</v>
      </c>
      <c r="UWD19" s="175">
        <v>0.57</v>
      </c>
      <c r="UWE19" s="175">
        <v>0.55</v>
      </c>
      <c r="UWF19" s="175">
        <v>0.53</v>
      </c>
      <c r="UWG19" s="157" t="s">
        <v>67</v>
      </c>
      <c r="UWH19" s="157"/>
      <c r="UWI19" s="157"/>
      <c r="UWJ19" s="173">
        <v>0.62</v>
      </c>
      <c r="UWK19" s="173">
        <v>0.61</v>
      </c>
      <c r="UWL19" s="173">
        <v>0.61</v>
      </c>
      <c r="UWM19" s="173">
        <v>0.61</v>
      </c>
      <c r="UWN19" s="173">
        <v>0.6</v>
      </c>
      <c r="UWO19" s="174">
        <v>0.6</v>
      </c>
      <c r="UWP19" s="173">
        <v>0.6</v>
      </c>
      <c r="UWQ19" s="174">
        <v>0.59</v>
      </c>
      <c r="UWR19" s="175">
        <v>0.59</v>
      </c>
      <c r="UWS19" s="175">
        <v>0.58</v>
      </c>
      <c r="UWT19" s="175">
        <v>0.57</v>
      </c>
      <c r="UWU19" s="175">
        <v>0.55</v>
      </c>
      <c r="UWV19" s="175">
        <v>0.53</v>
      </c>
      <c r="UWW19" s="157" t="s">
        <v>67</v>
      </c>
      <c r="UWX19" s="157"/>
      <c r="UWY19" s="157"/>
      <c r="UWZ19" s="173">
        <v>0.62</v>
      </c>
      <c r="UXA19" s="173">
        <v>0.61</v>
      </c>
      <c r="UXB19" s="173">
        <v>0.61</v>
      </c>
      <c r="UXC19" s="173">
        <v>0.61</v>
      </c>
      <c r="UXD19" s="173">
        <v>0.6</v>
      </c>
      <c r="UXE19" s="174">
        <v>0.6</v>
      </c>
      <c r="UXF19" s="173">
        <v>0.6</v>
      </c>
      <c r="UXG19" s="174">
        <v>0.59</v>
      </c>
      <c r="UXH19" s="175">
        <v>0.59</v>
      </c>
      <c r="UXI19" s="175">
        <v>0.58</v>
      </c>
      <c r="UXJ19" s="175">
        <v>0.57</v>
      </c>
      <c r="UXK19" s="175">
        <v>0.55</v>
      </c>
      <c r="UXL19" s="175">
        <v>0.53</v>
      </c>
      <c r="UXM19" s="157" t="s">
        <v>67</v>
      </c>
      <c r="UXN19" s="157"/>
      <c r="UXO19" s="157"/>
      <c r="UXP19" s="173">
        <v>0.62</v>
      </c>
      <c r="UXQ19" s="173">
        <v>0.61</v>
      </c>
      <c r="UXR19" s="173">
        <v>0.61</v>
      </c>
      <c r="UXS19" s="173">
        <v>0.61</v>
      </c>
      <c r="UXT19" s="173">
        <v>0.6</v>
      </c>
      <c r="UXU19" s="174">
        <v>0.6</v>
      </c>
      <c r="UXV19" s="173">
        <v>0.6</v>
      </c>
      <c r="UXW19" s="174">
        <v>0.59</v>
      </c>
      <c r="UXX19" s="175">
        <v>0.59</v>
      </c>
      <c r="UXY19" s="175">
        <v>0.58</v>
      </c>
      <c r="UXZ19" s="175">
        <v>0.57</v>
      </c>
      <c r="UYA19" s="175">
        <v>0.55</v>
      </c>
      <c r="UYB19" s="175">
        <v>0.53</v>
      </c>
      <c r="UYC19" s="157" t="s">
        <v>67</v>
      </c>
      <c r="UYD19" s="157"/>
      <c r="UYE19" s="157"/>
      <c r="UYF19" s="173">
        <v>0.62</v>
      </c>
      <c r="UYG19" s="173">
        <v>0.61</v>
      </c>
      <c r="UYH19" s="173">
        <v>0.61</v>
      </c>
      <c r="UYI19" s="173">
        <v>0.61</v>
      </c>
      <c r="UYJ19" s="173">
        <v>0.6</v>
      </c>
      <c r="UYK19" s="174">
        <v>0.6</v>
      </c>
      <c r="UYL19" s="173">
        <v>0.6</v>
      </c>
      <c r="UYM19" s="174">
        <v>0.59</v>
      </c>
      <c r="UYN19" s="175">
        <v>0.59</v>
      </c>
      <c r="UYO19" s="175">
        <v>0.58</v>
      </c>
      <c r="UYP19" s="175">
        <v>0.57</v>
      </c>
      <c r="UYQ19" s="175">
        <v>0.55</v>
      </c>
      <c r="UYR19" s="175">
        <v>0.53</v>
      </c>
      <c r="UYS19" s="157" t="s">
        <v>67</v>
      </c>
      <c r="UYT19" s="157"/>
      <c r="UYU19" s="157"/>
      <c r="UYV19" s="173">
        <v>0.62</v>
      </c>
      <c r="UYW19" s="173">
        <v>0.61</v>
      </c>
      <c r="UYX19" s="173">
        <v>0.61</v>
      </c>
      <c r="UYY19" s="173">
        <v>0.61</v>
      </c>
      <c r="UYZ19" s="173">
        <v>0.6</v>
      </c>
      <c r="UZA19" s="174">
        <v>0.6</v>
      </c>
      <c r="UZB19" s="173">
        <v>0.6</v>
      </c>
      <c r="UZC19" s="174">
        <v>0.59</v>
      </c>
      <c r="UZD19" s="175">
        <v>0.59</v>
      </c>
      <c r="UZE19" s="175">
        <v>0.58</v>
      </c>
      <c r="UZF19" s="175">
        <v>0.57</v>
      </c>
      <c r="UZG19" s="175">
        <v>0.55</v>
      </c>
      <c r="UZH19" s="175">
        <v>0.53</v>
      </c>
      <c r="UZI19" s="157" t="s">
        <v>67</v>
      </c>
      <c r="UZJ19" s="157"/>
      <c r="UZK19" s="157"/>
      <c r="UZL19" s="173">
        <v>0.62</v>
      </c>
      <c r="UZM19" s="173">
        <v>0.61</v>
      </c>
      <c r="UZN19" s="173">
        <v>0.61</v>
      </c>
      <c r="UZO19" s="173">
        <v>0.61</v>
      </c>
      <c r="UZP19" s="173">
        <v>0.6</v>
      </c>
      <c r="UZQ19" s="174">
        <v>0.6</v>
      </c>
      <c r="UZR19" s="173">
        <v>0.6</v>
      </c>
      <c r="UZS19" s="174">
        <v>0.59</v>
      </c>
      <c r="UZT19" s="175">
        <v>0.59</v>
      </c>
      <c r="UZU19" s="175">
        <v>0.58</v>
      </c>
      <c r="UZV19" s="175">
        <v>0.57</v>
      </c>
      <c r="UZW19" s="175">
        <v>0.55</v>
      </c>
      <c r="UZX19" s="175">
        <v>0.53</v>
      </c>
      <c r="UZY19" s="157" t="s">
        <v>67</v>
      </c>
      <c r="UZZ19" s="157"/>
      <c r="VAA19" s="157"/>
      <c r="VAB19" s="173">
        <v>0.62</v>
      </c>
      <c r="VAC19" s="173">
        <v>0.61</v>
      </c>
      <c r="VAD19" s="173">
        <v>0.61</v>
      </c>
      <c r="VAE19" s="173">
        <v>0.61</v>
      </c>
      <c r="VAF19" s="173">
        <v>0.6</v>
      </c>
      <c r="VAG19" s="174">
        <v>0.6</v>
      </c>
      <c r="VAH19" s="173">
        <v>0.6</v>
      </c>
      <c r="VAI19" s="174">
        <v>0.59</v>
      </c>
      <c r="VAJ19" s="175">
        <v>0.59</v>
      </c>
      <c r="VAK19" s="175">
        <v>0.58</v>
      </c>
      <c r="VAL19" s="175">
        <v>0.57</v>
      </c>
      <c r="VAM19" s="175">
        <v>0.55</v>
      </c>
      <c r="VAN19" s="175">
        <v>0.53</v>
      </c>
      <c r="VAO19" s="157" t="s">
        <v>67</v>
      </c>
      <c r="VAP19" s="157"/>
      <c r="VAQ19" s="157"/>
      <c r="VAR19" s="173">
        <v>0.62</v>
      </c>
      <c r="VAS19" s="173">
        <v>0.61</v>
      </c>
      <c r="VAT19" s="173">
        <v>0.61</v>
      </c>
      <c r="VAU19" s="173">
        <v>0.61</v>
      </c>
      <c r="VAV19" s="173">
        <v>0.6</v>
      </c>
      <c r="VAW19" s="174">
        <v>0.6</v>
      </c>
      <c r="VAX19" s="173">
        <v>0.6</v>
      </c>
      <c r="VAY19" s="174">
        <v>0.59</v>
      </c>
      <c r="VAZ19" s="175">
        <v>0.59</v>
      </c>
      <c r="VBA19" s="175">
        <v>0.58</v>
      </c>
      <c r="VBB19" s="175">
        <v>0.57</v>
      </c>
      <c r="VBC19" s="175">
        <v>0.55</v>
      </c>
      <c r="VBD19" s="175">
        <v>0.53</v>
      </c>
      <c r="VBE19" s="157" t="s">
        <v>67</v>
      </c>
      <c r="VBF19" s="157"/>
      <c r="VBG19" s="157"/>
      <c r="VBH19" s="173">
        <v>0.62</v>
      </c>
      <c r="VBI19" s="173">
        <v>0.61</v>
      </c>
      <c r="VBJ19" s="173">
        <v>0.61</v>
      </c>
      <c r="VBK19" s="173">
        <v>0.61</v>
      </c>
      <c r="VBL19" s="173">
        <v>0.6</v>
      </c>
      <c r="VBM19" s="174">
        <v>0.6</v>
      </c>
      <c r="VBN19" s="173">
        <v>0.6</v>
      </c>
      <c r="VBO19" s="174">
        <v>0.59</v>
      </c>
      <c r="VBP19" s="175">
        <v>0.59</v>
      </c>
      <c r="VBQ19" s="175">
        <v>0.58</v>
      </c>
      <c r="VBR19" s="175">
        <v>0.57</v>
      </c>
      <c r="VBS19" s="175">
        <v>0.55</v>
      </c>
      <c r="VBT19" s="175">
        <v>0.53</v>
      </c>
      <c r="VBU19" s="157" t="s">
        <v>67</v>
      </c>
      <c r="VBV19" s="157"/>
      <c r="VBW19" s="157"/>
      <c r="VBX19" s="173">
        <v>0.62</v>
      </c>
      <c r="VBY19" s="173">
        <v>0.61</v>
      </c>
      <c r="VBZ19" s="173">
        <v>0.61</v>
      </c>
      <c r="VCA19" s="173">
        <v>0.61</v>
      </c>
      <c r="VCB19" s="173">
        <v>0.6</v>
      </c>
      <c r="VCC19" s="174">
        <v>0.6</v>
      </c>
      <c r="VCD19" s="173">
        <v>0.6</v>
      </c>
      <c r="VCE19" s="174">
        <v>0.59</v>
      </c>
      <c r="VCF19" s="175">
        <v>0.59</v>
      </c>
      <c r="VCG19" s="175">
        <v>0.58</v>
      </c>
      <c r="VCH19" s="175">
        <v>0.57</v>
      </c>
      <c r="VCI19" s="175">
        <v>0.55</v>
      </c>
      <c r="VCJ19" s="175">
        <v>0.53</v>
      </c>
      <c r="VCK19" s="157" t="s">
        <v>67</v>
      </c>
      <c r="VCL19" s="157"/>
      <c r="VCM19" s="157"/>
      <c r="VCN19" s="173">
        <v>0.62</v>
      </c>
      <c r="VCO19" s="173">
        <v>0.61</v>
      </c>
      <c r="VCP19" s="173">
        <v>0.61</v>
      </c>
      <c r="VCQ19" s="173">
        <v>0.61</v>
      </c>
      <c r="VCR19" s="173">
        <v>0.6</v>
      </c>
      <c r="VCS19" s="174">
        <v>0.6</v>
      </c>
      <c r="VCT19" s="173">
        <v>0.6</v>
      </c>
      <c r="VCU19" s="174">
        <v>0.59</v>
      </c>
      <c r="VCV19" s="175">
        <v>0.59</v>
      </c>
      <c r="VCW19" s="175">
        <v>0.58</v>
      </c>
      <c r="VCX19" s="175">
        <v>0.57</v>
      </c>
      <c r="VCY19" s="175">
        <v>0.55</v>
      </c>
      <c r="VCZ19" s="175">
        <v>0.53</v>
      </c>
      <c r="VDA19" s="157" t="s">
        <v>67</v>
      </c>
      <c r="VDB19" s="157"/>
      <c r="VDC19" s="157"/>
      <c r="VDD19" s="173">
        <v>0.62</v>
      </c>
      <c r="VDE19" s="173">
        <v>0.61</v>
      </c>
      <c r="VDF19" s="173">
        <v>0.61</v>
      </c>
      <c r="VDG19" s="173">
        <v>0.61</v>
      </c>
      <c r="VDH19" s="173">
        <v>0.6</v>
      </c>
      <c r="VDI19" s="174">
        <v>0.6</v>
      </c>
      <c r="VDJ19" s="173">
        <v>0.6</v>
      </c>
      <c r="VDK19" s="174">
        <v>0.59</v>
      </c>
      <c r="VDL19" s="175">
        <v>0.59</v>
      </c>
      <c r="VDM19" s="175">
        <v>0.58</v>
      </c>
      <c r="VDN19" s="175">
        <v>0.57</v>
      </c>
      <c r="VDO19" s="175">
        <v>0.55</v>
      </c>
      <c r="VDP19" s="175">
        <v>0.53</v>
      </c>
      <c r="VDQ19" s="157" t="s">
        <v>67</v>
      </c>
      <c r="VDR19" s="157"/>
      <c r="VDS19" s="157"/>
      <c r="VDT19" s="173">
        <v>0.62</v>
      </c>
      <c r="VDU19" s="173">
        <v>0.61</v>
      </c>
      <c r="VDV19" s="173">
        <v>0.61</v>
      </c>
      <c r="VDW19" s="173">
        <v>0.61</v>
      </c>
      <c r="VDX19" s="173">
        <v>0.6</v>
      </c>
      <c r="VDY19" s="174">
        <v>0.6</v>
      </c>
      <c r="VDZ19" s="173">
        <v>0.6</v>
      </c>
      <c r="VEA19" s="174">
        <v>0.59</v>
      </c>
      <c r="VEB19" s="175">
        <v>0.59</v>
      </c>
      <c r="VEC19" s="175">
        <v>0.58</v>
      </c>
      <c r="VED19" s="175">
        <v>0.57</v>
      </c>
      <c r="VEE19" s="175">
        <v>0.55</v>
      </c>
      <c r="VEF19" s="175">
        <v>0.53</v>
      </c>
      <c r="VEG19" s="157" t="s">
        <v>67</v>
      </c>
      <c r="VEH19" s="157"/>
      <c r="VEI19" s="157"/>
      <c r="VEJ19" s="173">
        <v>0.62</v>
      </c>
      <c r="VEK19" s="173">
        <v>0.61</v>
      </c>
      <c r="VEL19" s="173">
        <v>0.61</v>
      </c>
      <c r="VEM19" s="173">
        <v>0.61</v>
      </c>
      <c r="VEN19" s="173">
        <v>0.6</v>
      </c>
      <c r="VEO19" s="174">
        <v>0.6</v>
      </c>
      <c r="VEP19" s="173">
        <v>0.6</v>
      </c>
      <c r="VEQ19" s="174">
        <v>0.59</v>
      </c>
      <c r="VER19" s="175">
        <v>0.59</v>
      </c>
      <c r="VES19" s="175">
        <v>0.58</v>
      </c>
      <c r="VET19" s="175">
        <v>0.57</v>
      </c>
      <c r="VEU19" s="175">
        <v>0.55</v>
      </c>
      <c r="VEV19" s="175">
        <v>0.53</v>
      </c>
      <c r="VEW19" s="157" t="s">
        <v>67</v>
      </c>
      <c r="VEX19" s="157"/>
      <c r="VEY19" s="157"/>
      <c r="VEZ19" s="173">
        <v>0.62</v>
      </c>
      <c r="VFA19" s="173">
        <v>0.61</v>
      </c>
      <c r="VFB19" s="173">
        <v>0.61</v>
      </c>
      <c r="VFC19" s="173">
        <v>0.61</v>
      </c>
      <c r="VFD19" s="173">
        <v>0.6</v>
      </c>
      <c r="VFE19" s="174">
        <v>0.6</v>
      </c>
      <c r="VFF19" s="173">
        <v>0.6</v>
      </c>
      <c r="VFG19" s="174">
        <v>0.59</v>
      </c>
      <c r="VFH19" s="175">
        <v>0.59</v>
      </c>
      <c r="VFI19" s="175">
        <v>0.58</v>
      </c>
      <c r="VFJ19" s="175">
        <v>0.57</v>
      </c>
      <c r="VFK19" s="175">
        <v>0.55</v>
      </c>
      <c r="VFL19" s="175">
        <v>0.53</v>
      </c>
      <c r="VFM19" s="157" t="s">
        <v>67</v>
      </c>
      <c r="VFN19" s="157"/>
      <c r="VFO19" s="157"/>
      <c r="VFP19" s="173">
        <v>0.62</v>
      </c>
      <c r="VFQ19" s="173">
        <v>0.61</v>
      </c>
      <c r="VFR19" s="173">
        <v>0.61</v>
      </c>
      <c r="VFS19" s="173">
        <v>0.61</v>
      </c>
      <c r="VFT19" s="173">
        <v>0.6</v>
      </c>
      <c r="VFU19" s="174">
        <v>0.6</v>
      </c>
      <c r="VFV19" s="173">
        <v>0.6</v>
      </c>
      <c r="VFW19" s="174">
        <v>0.59</v>
      </c>
      <c r="VFX19" s="175">
        <v>0.59</v>
      </c>
      <c r="VFY19" s="175">
        <v>0.58</v>
      </c>
      <c r="VFZ19" s="175">
        <v>0.57</v>
      </c>
      <c r="VGA19" s="175">
        <v>0.55</v>
      </c>
      <c r="VGB19" s="175">
        <v>0.53</v>
      </c>
      <c r="VGC19" s="157" t="s">
        <v>67</v>
      </c>
      <c r="VGD19" s="157"/>
      <c r="VGE19" s="157"/>
      <c r="VGF19" s="173">
        <v>0.62</v>
      </c>
      <c r="VGG19" s="173">
        <v>0.61</v>
      </c>
      <c r="VGH19" s="173">
        <v>0.61</v>
      </c>
      <c r="VGI19" s="173">
        <v>0.61</v>
      </c>
      <c r="VGJ19" s="173">
        <v>0.6</v>
      </c>
      <c r="VGK19" s="174">
        <v>0.6</v>
      </c>
      <c r="VGL19" s="173">
        <v>0.6</v>
      </c>
      <c r="VGM19" s="174">
        <v>0.59</v>
      </c>
      <c r="VGN19" s="175">
        <v>0.59</v>
      </c>
      <c r="VGO19" s="175">
        <v>0.58</v>
      </c>
      <c r="VGP19" s="175">
        <v>0.57</v>
      </c>
      <c r="VGQ19" s="175">
        <v>0.55</v>
      </c>
      <c r="VGR19" s="175">
        <v>0.53</v>
      </c>
      <c r="VGS19" s="157" t="s">
        <v>67</v>
      </c>
      <c r="VGT19" s="157"/>
      <c r="VGU19" s="157"/>
      <c r="VGV19" s="173">
        <v>0.62</v>
      </c>
      <c r="VGW19" s="173">
        <v>0.61</v>
      </c>
      <c r="VGX19" s="173">
        <v>0.61</v>
      </c>
      <c r="VGY19" s="173">
        <v>0.61</v>
      </c>
      <c r="VGZ19" s="173">
        <v>0.6</v>
      </c>
      <c r="VHA19" s="174">
        <v>0.6</v>
      </c>
      <c r="VHB19" s="173">
        <v>0.6</v>
      </c>
      <c r="VHC19" s="174">
        <v>0.59</v>
      </c>
      <c r="VHD19" s="175">
        <v>0.59</v>
      </c>
      <c r="VHE19" s="175">
        <v>0.58</v>
      </c>
      <c r="VHF19" s="175">
        <v>0.57</v>
      </c>
      <c r="VHG19" s="175">
        <v>0.55</v>
      </c>
      <c r="VHH19" s="175">
        <v>0.53</v>
      </c>
      <c r="VHI19" s="157" t="s">
        <v>67</v>
      </c>
      <c r="VHJ19" s="157"/>
      <c r="VHK19" s="157"/>
      <c r="VHL19" s="173">
        <v>0.62</v>
      </c>
      <c r="VHM19" s="173">
        <v>0.61</v>
      </c>
      <c r="VHN19" s="173">
        <v>0.61</v>
      </c>
      <c r="VHO19" s="173">
        <v>0.61</v>
      </c>
      <c r="VHP19" s="173">
        <v>0.6</v>
      </c>
      <c r="VHQ19" s="174">
        <v>0.6</v>
      </c>
      <c r="VHR19" s="173">
        <v>0.6</v>
      </c>
      <c r="VHS19" s="174">
        <v>0.59</v>
      </c>
      <c r="VHT19" s="175">
        <v>0.59</v>
      </c>
      <c r="VHU19" s="175">
        <v>0.58</v>
      </c>
      <c r="VHV19" s="175">
        <v>0.57</v>
      </c>
      <c r="VHW19" s="175">
        <v>0.55</v>
      </c>
      <c r="VHX19" s="175">
        <v>0.53</v>
      </c>
      <c r="VHY19" s="157" t="s">
        <v>67</v>
      </c>
      <c r="VHZ19" s="157"/>
      <c r="VIA19" s="157"/>
      <c r="VIB19" s="173">
        <v>0.62</v>
      </c>
      <c r="VIC19" s="173">
        <v>0.61</v>
      </c>
      <c r="VID19" s="173">
        <v>0.61</v>
      </c>
      <c r="VIE19" s="173">
        <v>0.61</v>
      </c>
      <c r="VIF19" s="173">
        <v>0.6</v>
      </c>
      <c r="VIG19" s="174">
        <v>0.6</v>
      </c>
      <c r="VIH19" s="173">
        <v>0.6</v>
      </c>
      <c r="VII19" s="174">
        <v>0.59</v>
      </c>
      <c r="VIJ19" s="175">
        <v>0.59</v>
      </c>
      <c r="VIK19" s="175">
        <v>0.58</v>
      </c>
      <c r="VIL19" s="175">
        <v>0.57</v>
      </c>
      <c r="VIM19" s="175">
        <v>0.55</v>
      </c>
      <c r="VIN19" s="175">
        <v>0.53</v>
      </c>
      <c r="VIO19" s="157" t="s">
        <v>67</v>
      </c>
      <c r="VIP19" s="157"/>
      <c r="VIQ19" s="157"/>
      <c r="VIR19" s="173">
        <v>0.62</v>
      </c>
      <c r="VIS19" s="173">
        <v>0.61</v>
      </c>
      <c r="VIT19" s="173">
        <v>0.61</v>
      </c>
      <c r="VIU19" s="173">
        <v>0.61</v>
      </c>
      <c r="VIV19" s="173">
        <v>0.6</v>
      </c>
      <c r="VIW19" s="174">
        <v>0.6</v>
      </c>
      <c r="VIX19" s="173">
        <v>0.6</v>
      </c>
      <c r="VIY19" s="174">
        <v>0.59</v>
      </c>
      <c r="VIZ19" s="175">
        <v>0.59</v>
      </c>
      <c r="VJA19" s="175">
        <v>0.58</v>
      </c>
      <c r="VJB19" s="175">
        <v>0.57</v>
      </c>
      <c r="VJC19" s="175">
        <v>0.55</v>
      </c>
      <c r="VJD19" s="175">
        <v>0.53</v>
      </c>
      <c r="VJE19" s="157" t="s">
        <v>67</v>
      </c>
      <c r="VJF19" s="157"/>
      <c r="VJG19" s="157"/>
      <c r="VJH19" s="173">
        <v>0.62</v>
      </c>
      <c r="VJI19" s="173">
        <v>0.61</v>
      </c>
      <c r="VJJ19" s="173">
        <v>0.61</v>
      </c>
      <c r="VJK19" s="173">
        <v>0.61</v>
      </c>
      <c r="VJL19" s="173">
        <v>0.6</v>
      </c>
      <c r="VJM19" s="174">
        <v>0.6</v>
      </c>
      <c r="VJN19" s="173">
        <v>0.6</v>
      </c>
      <c r="VJO19" s="174">
        <v>0.59</v>
      </c>
      <c r="VJP19" s="175">
        <v>0.59</v>
      </c>
      <c r="VJQ19" s="175">
        <v>0.58</v>
      </c>
      <c r="VJR19" s="175">
        <v>0.57</v>
      </c>
      <c r="VJS19" s="175">
        <v>0.55</v>
      </c>
      <c r="VJT19" s="175">
        <v>0.53</v>
      </c>
      <c r="VJU19" s="157" t="s">
        <v>67</v>
      </c>
      <c r="VJV19" s="157"/>
      <c r="VJW19" s="157"/>
      <c r="VJX19" s="173">
        <v>0.62</v>
      </c>
      <c r="VJY19" s="173">
        <v>0.61</v>
      </c>
      <c r="VJZ19" s="173">
        <v>0.61</v>
      </c>
      <c r="VKA19" s="173">
        <v>0.61</v>
      </c>
      <c r="VKB19" s="173">
        <v>0.6</v>
      </c>
      <c r="VKC19" s="174">
        <v>0.6</v>
      </c>
      <c r="VKD19" s="173">
        <v>0.6</v>
      </c>
      <c r="VKE19" s="174">
        <v>0.59</v>
      </c>
      <c r="VKF19" s="175">
        <v>0.59</v>
      </c>
      <c r="VKG19" s="175">
        <v>0.58</v>
      </c>
      <c r="VKH19" s="175">
        <v>0.57</v>
      </c>
      <c r="VKI19" s="175">
        <v>0.55</v>
      </c>
      <c r="VKJ19" s="175">
        <v>0.53</v>
      </c>
      <c r="VKK19" s="157" t="s">
        <v>67</v>
      </c>
      <c r="VKL19" s="157"/>
      <c r="VKM19" s="157"/>
      <c r="VKN19" s="173">
        <v>0.62</v>
      </c>
      <c r="VKO19" s="173">
        <v>0.61</v>
      </c>
      <c r="VKP19" s="173">
        <v>0.61</v>
      </c>
      <c r="VKQ19" s="173">
        <v>0.61</v>
      </c>
      <c r="VKR19" s="173">
        <v>0.6</v>
      </c>
      <c r="VKS19" s="174">
        <v>0.6</v>
      </c>
      <c r="VKT19" s="173">
        <v>0.6</v>
      </c>
      <c r="VKU19" s="174">
        <v>0.59</v>
      </c>
      <c r="VKV19" s="175">
        <v>0.59</v>
      </c>
      <c r="VKW19" s="175">
        <v>0.58</v>
      </c>
      <c r="VKX19" s="175">
        <v>0.57</v>
      </c>
      <c r="VKY19" s="175">
        <v>0.55</v>
      </c>
      <c r="VKZ19" s="175">
        <v>0.53</v>
      </c>
      <c r="VLA19" s="157" t="s">
        <v>67</v>
      </c>
      <c r="VLB19" s="157"/>
      <c r="VLC19" s="157"/>
      <c r="VLD19" s="173">
        <v>0.62</v>
      </c>
      <c r="VLE19" s="173">
        <v>0.61</v>
      </c>
      <c r="VLF19" s="173">
        <v>0.61</v>
      </c>
      <c r="VLG19" s="173">
        <v>0.61</v>
      </c>
      <c r="VLH19" s="173">
        <v>0.6</v>
      </c>
      <c r="VLI19" s="174">
        <v>0.6</v>
      </c>
      <c r="VLJ19" s="173">
        <v>0.6</v>
      </c>
      <c r="VLK19" s="174">
        <v>0.59</v>
      </c>
      <c r="VLL19" s="175">
        <v>0.59</v>
      </c>
      <c r="VLM19" s="175">
        <v>0.58</v>
      </c>
      <c r="VLN19" s="175">
        <v>0.57</v>
      </c>
      <c r="VLO19" s="175">
        <v>0.55</v>
      </c>
      <c r="VLP19" s="175">
        <v>0.53</v>
      </c>
      <c r="VLQ19" s="157" t="s">
        <v>67</v>
      </c>
      <c r="VLR19" s="157"/>
      <c r="VLS19" s="157"/>
      <c r="VLT19" s="173">
        <v>0.62</v>
      </c>
      <c r="VLU19" s="173">
        <v>0.61</v>
      </c>
      <c r="VLV19" s="173">
        <v>0.61</v>
      </c>
      <c r="VLW19" s="173">
        <v>0.61</v>
      </c>
      <c r="VLX19" s="173">
        <v>0.6</v>
      </c>
      <c r="VLY19" s="174">
        <v>0.6</v>
      </c>
      <c r="VLZ19" s="173">
        <v>0.6</v>
      </c>
      <c r="VMA19" s="174">
        <v>0.59</v>
      </c>
      <c r="VMB19" s="175">
        <v>0.59</v>
      </c>
      <c r="VMC19" s="175">
        <v>0.58</v>
      </c>
      <c r="VMD19" s="175">
        <v>0.57</v>
      </c>
      <c r="VME19" s="175">
        <v>0.55</v>
      </c>
      <c r="VMF19" s="175">
        <v>0.53</v>
      </c>
      <c r="VMG19" s="157" t="s">
        <v>67</v>
      </c>
      <c r="VMH19" s="157"/>
      <c r="VMI19" s="157"/>
      <c r="VMJ19" s="173">
        <v>0.62</v>
      </c>
      <c r="VMK19" s="173">
        <v>0.61</v>
      </c>
      <c r="VML19" s="173">
        <v>0.61</v>
      </c>
      <c r="VMM19" s="173">
        <v>0.61</v>
      </c>
      <c r="VMN19" s="173">
        <v>0.6</v>
      </c>
      <c r="VMO19" s="174">
        <v>0.6</v>
      </c>
      <c r="VMP19" s="173">
        <v>0.6</v>
      </c>
      <c r="VMQ19" s="174">
        <v>0.59</v>
      </c>
      <c r="VMR19" s="175">
        <v>0.59</v>
      </c>
      <c r="VMS19" s="175">
        <v>0.58</v>
      </c>
      <c r="VMT19" s="175">
        <v>0.57</v>
      </c>
      <c r="VMU19" s="175">
        <v>0.55</v>
      </c>
      <c r="VMV19" s="175">
        <v>0.53</v>
      </c>
      <c r="VMW19" s="157" t="s">
        <v>67</v>
      </c>
      <c r="VMX19" s="157"/>
      <c r="VMY19" s="157"/>
      <c r="VMZ19" s="173">
        <v>0.62</v>
      </c>
      <c r="VNA19" s="173">
        <v>0.61</v>
      </c>
      <c r="VNB19" s="173">
        <v>0.61</v>
      </c>
      <c r="VNC19" s="173">
        <v>0.61</v>
      </c>
      <c r="VND19" s="173">
        <v>0.6</v>
      </c>
      <c r="VNE19" s="174">
        <v>0.6</v>
      </c>
      <c r="VNF19" s="173">
        <v>0.6</v>
      </c>
      <c r="VNG19" s="174">
        <v>0.59</v>
      </c>
      <c r="VNH19" s="175">
        <v>0.59</v>
      </c>
      <c r="VNI19" s="175">
        <v>0.58</v>
      </c>
      <c r="VNJ19" s="175">
        <v>0.57</v>
      </c>
      <c r="VNK19" s="175">
        <v>0.55</v>
      </c>
      <c r="VNL19" s="175">
        <v>0.53</v>
      </c>
      <c r="VNM19" s="157" t="s">
        <v>67</v>
      </c>
      <c r="VNN19" s="157"/>
      <c r="VNO19" s="157"/>
      <c r="VNP19" s="173">
        <v>0.62</v>
      </c>
      <c r="VNQ19" s="173">
        <v>0.61</v>
      </c>
      <c r="VNR19" s="173">
        <v>0.61</v>
      </c>
      <c r="VNS19" s="173">
        <v>0.61</v>
      </c>
      <c r="VNT19" s="173">
        <v>0.6</v>
      </c>
      <c r="VNU19" s="174">
        <v>0.6</v>
      </c>
      <c r="VNV19" s="173">
        <v>0.6</v>
      </c>
      <c r="VNW19" s="174">
        <v>0.59</v>
      </c>
      <c r="VNX19" s="175">
        <v>0.59</v>
      </c>
      <c r="VNY19" s="175">
        <v>0.58</v>
      </c>
      <c r="VNZ19" s="175">
        <v>0.57</v>
      </c>
      <c r="VOA19" s="175">
        <v>0.55</v>
      </c>
      <c r="VOB19" s="175">
        <v>0.53</v>
      </c>
      <c r="VOC19" s="157" t="s">
        <v>67</v>
      </c>
      <c r="VOD19" s="157"/>
      <c r="VOE19" s="157"/>
      <c r="VOF19" s="173">
        <v>0.62</v>
      </c>
      <c r="VOG19" s="173">
        <v>0.61</v>
      </c>
      <c r="VOH19" s="173">
        <v>0.61</v>
      </c>
      <c r="VOI19" s="173">
        <v>0.61</v>
      </c>
      <c r="VOJ19" s="173">
        <v>0.6</v>
      </c>
      <c r="VOK19" s="174">
        <v>0.6</v>
      </c>
      <c r="VOL19" s="173">
        <v>0.6</v>
      </c>
      <c r="VOM19" s="174">
        <v>0.59</v>
      </c>
      <c r="VON19" s="175">
        <v>0.59</v>
      </c>
      <c r="VOO19" s="175">
        <v>0.58</v>
      </c>
      <c r="VOP19" s="175">
        <v>0.57</v>
      </c>
      <c r="VOQ19" s="175">
        <v>0.55</v>
      </c>
      <c r="VOR19" s="175">
        <v>0.53</v>
      </c>
      <c r="VOS19" s="157" t="s">
        <v>67</v>
      </c>
      <c r="VOT19" s="157"/>
      <c r="VOU19" s="157"/>
      <c r="VOV19" s="173">
        <v>0.62</v>
      </c>
      <c r="VOW19" s="173">
        <v>0.61</v>
      </c>
      <c r="VOX19" s="173">
        <v>0.61</v>
      </c>
      <c r="VOY19" s="173">
        <v>0.61</v>
      </c>
      <c r="VOZ19" s="173">
        <v>0.6</v>
      </c>
      <c r="VPA19" s="174">
        <v>0.6</v>
      </c>
      <c r="VPB19" s="173">
        <v>0.6</v>
      </c>
      <c r="VPC19" s="174">
        <v>0.59</v>
      </c>
      <c r="VPD19" s="175">
        <v>0.59</v>
      </c>
      <c r="VPE19" s="175">
        <v>0.58</v>
      </c>
      <c r="VPF19" s="175">
        <v>0.57</v>
      </c>
      <c r="VPG19" s="175">
        <v>0.55</v>
      </c>
      <c r="VPH19" s="175">
        <v>0.53</v>
      </c>
      <c r="VPI19" s="157" t="s">
        <v>67</v>
      </c>
      <c r="VPJ19" s="157"/>
      <c r="VPK19" s="157"/>
      <c r="VPL19" s="173">
        <v>0.62</v>
      </c>
      <c r="VPM19" s="173">
        <v>0.61</v>
      </c>
      <c r="VPN19" s="173">
        <v>0.61</v>
      </c>
      <c r="VPO19" s="173">
        <v>0.61</v>
      </c>
      <c r="VPP19" s="173">
        <v>0.6</v>
      </c>
      <c r="VPQ19" s="174">
        <v>0.6</v>
      </c>
      <c r="VPR19" s="173">
        <v>0.6</v>
      </c>
      <c r="VPS19" s="174">
        <v>0.59</v>
      </c>
      <c r="VPT19" s="175">
        <v>0.59</v>
      </c>
      <c r="VPU19" s="175">
        <v>0.58</v>
      </c>
      <c r="VPV19" s="175">
        <v>0.57</v>
      </c>
      <c r="VPW19" s="175">
        <v>0.55</v>
      </c>
      <c r="VPX19" s="175">
        <v>0.53</v>
      </c>
      <c r="VPY19" s="157" t="s">
        <v>67</v>
      </c>
      <c r="VPZ19" s="157"/>
      <c r="VQA19" s="157"/>
      <c r="VQB19" s="173">
        <v>0.62</v>
      </c>
      <c r="VQC19" s="173">
        <v>0.61</v>
      </c>
      <c r="VQD19" s="173">
        <v>0.61</v>
      </c>
      <c r="VQE19" s="173">
        <v>0.61</v>
      </c>
      <c r="VQF19" s="173">
        <v>0.6</v>
      </c>
      <c r="VQG19" s="174">
        <v>0.6</v>
      </c>
      <c r="VQH19" s="173">
        <v>0.6</v>
      </c>
      <c r="VQI19" s="174">
        <v>0.59</v>
      </c>
      <c r="VQJ19" s="175">
        <v>0.59</v>
      </c>
      <c r="VQK19" s="175">
        <v>0.58</v>
      </c>
      <c r="VQL19" s="175">
        <v>0.57</v>
      </c>
      <c r="VQM19" s="175">
        <v>0.55</v>
      </c>
      <c r="VQN19" s="175">
        <v>0.53</v>
      </c>
      <c r="VQO19" s="157" t="s">
        <v>67</v>
      </c>
      <c r="VQP19" s="157"/>
      <c r="VQQ19" s="157"/>
      <c r="VQR19" s="173">
        <v>0.62</v>
      </c>
      <c r="VQS19" s="173">
        <v>0.61</v>
      </c>
      <c r="VQT19" s="173">
        <v>0.61</v>
      </c>
      <c r="VQU19" s="173">
        <v>0.61</v>
      </c>
      <c r="VQV19" s="173">
        <v>0.6</v>
      </c>
      <c r="VQW19" s="174">
        <v>0.6</v>
      </c>
      <c r="VQX19" s="173">
        <v>0.6</v>
      </c>
      <c r="VQY19" s="174">
        <v>0.59</v>
      </c>
      <c r="VQZ19" s="175">
        <v>0.59</v>
      </c>
      <c r="VRA19" s="175">
        <v>0.58</v>
      </c>
      <c r="VRB19" s="175">
        <v>0.57</v>
      </c>
      <c r="VRC19" s="175">
        <v>0.55</v>
      </c>
      <c r="VRD19" s="175">
        <v>0.53</v>
      </c>
      <c r="VRE19" s="157" t="s">
        <v>67</v>
      </c>
      <c r="VRF19" s="157"/>
      <c r="VRG19" s="157"/>
      <c r="VRH19" s="173">
        <v>0.62</v>
      </c>
      <c r="VRI19" s="173">
        <v>0.61</v>
      </c>
      <c r="VRJ19" s="173">
        <v>0.61</v>
      </c>
      <c r="VRK19" s="173">
        <v>0.61</v>
      </c>
      <c r="VRL19" s="173">
        <v>0.6</v>
      </c>
      <c r="VRM19" s="174">
        <v>0.6</v>
      </c>
      <c r="VRN19" s="173">
        <v>0.6</v>
      </c>
      <c r="VRO19" s="174">
        <v>0.59</v>
      </c>
      <c r="VRP19" s="175">
        <v>0.59</v>
      </c>
      <c r="VRQ19" s="175">
        <v>0.58</v>
      </c>
      <c r="VRR19" s="175">
        <v>0.57</v>
      </c>
      <c r="VRS19" s="175">
        <v>0.55</v>
      </c>
      <c r="VRT19" s="175">
        <v>0.53</v>
      </c>
      <c r="VRU19" s="157" t="s">
        <v>67</v>
      </c>
      <c r="VRV19" s="157"/>
      <c r="VRW19" s="157"/>
      <c r="VRX19" s="173">
        <v>0.62</v>
      </c>
      <c r="VRY19" s="173">
        <v>0.61</v>
      </c>
      <c r="VRZ19" s="173">
        <v>0.61</v>
      </c>
      <c r="VSA19" s="173">
        <v>0.61</v>
      </c>
      <c r="VSB19" s="173">
        <v>0.6</v>
      </c>
      <c r="VSC19" s="174">
        <v>0.6</v>
      </c>
      <c r="VSD19" s="173">
        <v>0.6</v>
      </c>
      <c r="VSE19" s="174">
        <v>0.59</v>
      </c>
      <c r="VSF19" s="175">
        <v>0.59</v>
      </c>
      <c r="VSG19" s="175">
        <v>0.58</v>
      </c>
      <c r="VSH19" s="175">
        <v>0.57</v>
      </c>
      <c r="VSI19" s="175">
        <v>0.55</v>
      </c>
      <c r="VSJ19" s="175">
        <v>0.53</v>
      </c>
      <c r="VSK19" s="157" t="s">
        <v>67</v>
      </c>
      <c r="VSL19" s="157"/>
      <c r="VSM19" s="157"/>
      <c r="VSN19" s="173">
        <v>0.62</v>
      </c>
      <c r="VSO19" s="173">
        <v>0.61</v>
      </c>
      <c r="VSP19" s="173">
        <v>0.61</v>
      </c>
      <c r="VSQ19" s="173">
        <v>0.61</v>
      </c>
      <c r="VSR19" s="173">
        <v>0.6</v>
      </c>
      <c r="VSS19" s="174">
        <v>0.6</v>
      </c>
      <c r="VST19" s="173">
        <v>0.6</v>
      </c>
      <c r="VSU19" s="174">
        <v>0.59</v>
      </c>
      <c r="VSV19" s="175">
        <v>0.59</v>
      </c>
      <c r="VSW19" s="175">
        <v>0.58</v>
      </c>
      <c r="VSX19" s="175">
        <v>0.57</v>
      </c>
      <c r="VSY19" s="175">
        <v>0.55</v>
      </c>
      <c r="VSZ19" s="175">
        <v>0.53</v>
      </c>
      <c r="VTA19" s="157" t="s">
        <v>67</v>
      </c>
      <c r="VTB19" s="157"/>
      <c r="VTC19" s="157"/>
      <c r="VTD19" s="173">
        <v>0.62</v>
      </c>
      <c r="VTE19" s="173">
        <v>0.61</v>
      </c>
      <c r="VTF19" s="173">
        <v>0.61</v>
      </c>
      <c r="VTG19" s="173">
        <v>0.61</v>
      </c>
      <c r="VTH19" s="173">
        <v>0.6</v>
      </c>
      <c r="VTI19" s="174">
        <v>0.6</v>
      </c>
      <c r="VTJ19" s="173">
        <v>0.6</v>
      </c>
      <c r="VTK19" s="174">
        <v>0.59</v>
      </c>
      <c r="VTL19" s="175">
        <v>0.59</v>
      </c>
      <c r="VTM19" s="175">
        <v>0.58</v>
      </c>
      <c r="VTN19" s="175">
        <v>0.57</v>
      </c>
      <c r="VTO19" s="175">
        <v>0.55</v>
      </c>
      <c r="VTP19" s="175">
        <v>0.53</v>
      </c>
      <c r="VTQ19" s="157" t="s">
        <v>67</v>
      </c>
      <c r="VTR19" s="157"/>
      <c r="VTS19" s="157"/>
      <c r="VTT19" s="173">
        <v>0.62</v>
      </c>
      <c r="VTU19" s="173">
        <v>0.61</v>
      </c>
      <c r="VTV19" s="173">
        <v>0.61</v>
      </c>
      <c r="VTW19" s="173">
        <v>0.61</v>
      </c>
      <c r="VTX19" s="173">
        <v>0.6</v>
      </c>
      <c r="VTY19" s="174">
        <v>0.6</v>
      </c>
      <c r="VTZ19" s="173">
        <v>0.6</v>
      </c>
      <c r="VUA19" s="174">
        <v>0.59</v>
      </c>
      <c r="VUB19" s="175">
        <v>0.59</v>
      </c>
      <c r="VUC19" s="175">
        <v>0.58</v>
      </c>
      <c r="VUD19" s="175">
        <v>0.57</v>
      </c>
      <c r="VUE19" s="175">
        <v>0.55</v>
      </c>
      <c r="VUF19" s="175">
        <v>0.53</v>
      </c>
      <c r="VUG19" s="157" t="s">
        <v>67</v>
      </c>
      <c r="VUH19" s="157"/>
      <c r="VUI19" s="157"/>
      <c r="VUJ19" s="173">
        <v>0.62</v>
      </c>
      <c r="VUK19" s="173">
        <v>0.61</v>
      </c>
      <c r="VUL19" s="173">
        <v>0.61</v>
      </c>
      <c r="VUM19" s="173">
        <v>0.61</v>
      </c>
      <c r="VUN19" s="173">
        <v>0.6</v>
      </c>
      <c r="VUO19" s="174">
        <v>0.6</v>
      </c>
      <c r="VUP19" s="173">
        <v>0.6</v>
      </c>
      <c r="VUQ19" s="174">
        <v>0.59</v>
      </c>
      <c r="VUR19" s="175">
        <v>0.59</v>
      </c>
      <c r="VUS19" s="175">
        <v>0.58</v>
      </c>
      <c r="VUT19" s="175">
        <v>0.57</v>
      </c>
      <c r="VUU19" s="175">
        <v>0.55</v>
      </c>
      <c r="VUV19" s="175">
        <v>0.53</v>
      </c>
      <c r="VUW19" s="157" t="s">
        <v>67</v>
      </c>
      <c r="VUX19" s="157"/>
      <c r="VUY19" s="157"/>
      <c r="VUZ19" s="173">
        <v>0.62</v>
      </c>
      <c r="VVA19" s="173">
        <v>0.61</v>
      </c>
      <c r="VVB19" s="173">
        <v>0.61</v>
      </c>
      <c r="VVC19" s="173">
        <v>0.61</v>
      </c>
      <c r="VVD19" s="173">
        <v>0.6</v>
      </c>
      <c r="VVE19" s="174">
        <v>0.6</v>
      </c>
      <c r="VVF19" s="173">
        <v>0.6</v>
      </c>
      <c r="VVG19" s="174">
        <v>0.59</v>
      </c>
      <c r="VVH19" s="175">
        <v>0.59</v>
      </c>
      <c r="VVI19" s="175">
        <v>0.58</v>
      </c>
      <c r="VVJ19" s="175">
        <v>0.57</v>
      </c>
      <c r="VVK19" s="175">
        <v>0.55</v>
      </c>
      <c r="VVL19" s="175">
        <v>0.53</v>
      </c>
      <c r="VVM19" s="157" t="s">
        <v>67</v>
      </c>
      <c r="VVN19" s="157"/>
      <c r="VVO19" s="157"/>
      <c r="VVP19" s="173">
        <v>0.62</v>
      </c>
      <c r="VVQ19" s="173">
        <v>0.61</v>
      </c>
      <c r="VVR19" s="173">
        <v>0.61</v>
      </c>
      <c r="VVS19" s="173">
        <v>0.61</v>
      </c>
      <c r="VVT19" s="173">
        <v>0.6</v>
      </c>
      <c r="VVU19" s="174">
        <v>0.6</v>
      </c>
      <c r="VVV19" s="173">
        <v>0.6</v>
      </c>
      <c r="VVW19" s="174">
        <v>0.59</v>
      </c>
      <c r="VVX19" s="175">
        <v>0.59</v>
      </c>
      <c r="VVY19" s="175">
        <v>0.58</v>
      </c>
      <c r="VVZ19" s="175">
        <v>0.57</v>
      </c>
      <c r="VWA19" s="175">
        <v>0.55</v>
      </c>
      <c r="VWB19" s="175">
        <v>0.53</v>
      </c>
      <c r="VWC19" s="157" t="s">
        <v>67</v>
      </c>
      <c r="VWD19" s="157"/>
      <c r="VWE19" s="157"/>
      <c r="VWF19" s="173">
        <v>0.62</v>
      </c>
      <c r="VWG19" s="173">
        <v>0.61</v>
      </c>
      <c r="VWH19" s="173">
        <v>0.61</v>
      </c>
      <c r="VWI19" s="173">
        <v>0.61</v>
      </c>
      <c r="VWJ19" s="173">
        <v>0.6</v>
      </c>
      <c r="VWK19" s="174">
        <v>0.6</v>
      </c>
      <c r="VWL19" s="173">
        <v>0.6</v>
      </c>
      <c r="VWM19" s="174">
        <v>0.59</v>
      </c>
      <c r="VWN19" s="175">
        <v>0.59</v>
      </c>
      <c r="VWO19" s="175">
        <v>0.58</v>
      </c>
      <c r="VWP19" s="175">
        <v>0.57</v>
      </c>
      <c r="VWQ19" s="175">
        <v>0.55</v>
      </c>
      <c r="VWR19" s="175">
        <v>0.53</v>
      </c>
      <c r="VWS19" s="157" t="s">
        <v>67</v>
      </c>
      <c r="VWT19" s="157"/>
      <c r="VWU19" s="157"/>
      <c r="VWV19" s="173">
        <v>0.62</v>
      </c>
      <c r="VWW19" s="173">
        <v>0.61</v>
      </c>
      <c r="VWX19" s="173">
        <v>0.61</v>
      </c>
      <c r="VWY19" s="173">
        <v>0.61</v>
      </c>
      <c r="VWZ19" s="173">
        <v>0.6</v>
      </c>
      <c r="VXA19" s="174">
        <v>0.6</v>
      </c>
      <c r="VXB19" s="173">
        <v>0.6</v>
      </c>
      <c r="VXC19" s="174">
        <v>0.59</v>
      </c>
      <c r="VXD19" s="175">
        <v>0.59</v>
      </c>
      <c r="VXE19" s="175">
        <v>0.58</v>
      </c>
      <c r="VXF19" s="175">
        <v>0.57</v>
      </c>
      <c r="VXG19" s="175">
        <v>0.55</v>
      </c>
      <c r="VXH19" s="175">
        <v>0.53</v>
      </c>
      <c r="VXI19" s="157" t="s">
        <v>67</v>
      </c>
      <c r="VXJ19" s="157"/>
      <c r="VXK19" s="157"/>
      <c r="VXL19" s="173">
        <v>0.62</v>
      </c>
      <c r="VXM19" s="173">
        <v>0.61</v>
      </c>
      <c r="VXN19" s="173">
        <v>0.61</v>
      </c>
      <c r="VXO19" s="173">
        <v>0.61</v>
      </c>
      <c r="VXP19" s="173">
        <v>0.6</v>
      </c>
      <c r="VXQ19" s="174">
        <v>0.6</v>
      </c>
      <c r="VXR19" s="173">
        <v>0.6</v>
      </c>
      <c r="VXS19" s="174">
        <v>0.59</v>
      </c>
      <c r="VXT19" s="175">
        <v>0.59</v>
      </c>
      <c r="VXU19" s="175">
        <v>0.58</v>
      </c>
      <c r="VXV19" s="175">
        <v>0.57</v>
      </c>
      <c r="VXW19" s="175">
        <v>0.55</v>
      </c>
      <c r="VXX19" s="175">
        <v>0.53</v>
      </c>
      <c r="VXY19" s="157" t="s">
        <v>67</v>
      </c>
      <c r="VXZ19" s="157"/>
      <c r="VYA19" s="157"/>
      <c r="VYB19" s="173">
        <v>0.62</v>
      </c>
      <c r="VYC19" s="173">
        <v>0.61</v>
      </c>
      <c r="VYD19" s="173">
        <v>0.61</v>
      </c>
      <c r="VYE19" s="173">
        <v>0.61</v>
      </c>
      <c r="VYF19" s="173">
        <v>0.6</v>
      </c>
      <c r="VYG19" s="174">
        <v>0.6</v>
      </c>
      <c r="VYH19" s="173">
        <v>0.6</v>
      </c>
      <c r="VYI19" s="174">
        <v>0.59</v>
      </c>
      <c r="VYJ19" s="175">
        <v>0.59</v>
      </c>
      <c r="VYK19" s="175">
        <v>0.58</v>
      </c>
      <c r="VYL19" s="175">
        <v>0.57</v>
      </c>
      <c r="VYM19" s="175">
        <v>0.55</v>
      </c>
      <c r="VYN19" s="175">
        <v>0.53</v>
      </c>
      <c r="VYO19" s="157" t="s">
        <v>67</v>
      </c>
      <c r="VYP19" s="157"/>
      <c r="VYQ19" s="157"/>
      <c r="VYR19" s="173">
        <v>0.62</v>
      </c>
      <c r="VYS19" s="173">
        <v>0.61</v>
      </c>
      <c r="VYT19" s="173">
        <v>0.61</v>
      </c>
      <c r="VYU19" s="173">
        <v>0.61</v>
      </c>
      <c r="VYV19" s="173">
        <v>0.6</v>
      </c>
      <c r="VYW19" s="174">
        <v>0.6</v>
      </c>
      <c r="VYX19" s="173">
        <v>0.6</v>
      </c>
      <c r="VYY19" s="174">
        <v>0.59</v>
      </c>
      <c r="VYZ19" s="175">
        <v>0.59</v>
      </c>
      <c r="VZA19" s="175">
        <v>0.58</v>
      </c>
      <c r="VZB19" s="175">
        <v>0.57</v>
      </c>
      <c r="VZC19" s="175">
        <v>0.55</v>
      </c>
      <c r="VZD19" s="175">
        <v>0.53</v>
      </c>
      <c r="VZE19" s="157" t="s">
        <v>67</v>
      </c>
      <c r="VZF19" s="157"/>
      <c r="VZG19" s="157"/>
      <c r="VZH19" s="173">
        <v>0.62</v>
      </c>
      <c r="VZI19" s="173">
        <v>0.61</v>
      </c>
      <c r="VZJ19" s="173">
        <v>0.61</v>
      </c>
      <c r="VZK19" s="173">
        <v>0.61</v>
      </c>
      <c r="VZL19" s="173">
        <v>0.6</v>
      </c>
      <c r="VZM19" s="174">
        <v>0.6</v>
      </c>
      <c r="VZN19" s="173">
        <v>0.6</v>
      </c>
      <c r="VZO19" s="174">
        <v>0.59</v>
      </c>
      <c r="VZP19" s="175">
        <v>0.59</v>
      </c>
      <c r="VZQ19" s="175">
        <v>0.58</v>
      </c>
      <c r="VZR19" s="175">
        <v>0.57</v>
      </c>
      <c r="VZS19" s="175">
        <v>0.55</v>
      </c>
      <c r="VZT19" s="175">
        <v>0.53</v>
      </c>
      <c r="VZU19" s="157" t="s">
        <v>67</v>
      </c>
      <c r="VZV19" s="157"/>
      <c r="VZW19" s="157"/>
      <c r="VZX19" s="173">
        <v>0.62</v>
      </c>
      <c r="VZY19" s="173">
        <v>0.61</v>
      </c>
      <c r="VZZ19" s="173">
        <v>0.61</v>
      </c>
      <c r="WAA19" s="173">
        <v>0.61</v>
      </c>
      <c r="WAB19" s="173">
        <v>0.6</v>
      </c>
      <c r="WAC19" s="174">
        <v>0.6</v>
      </c>
      <c r="WAD19" s="173">
        <v>0.6</v>
      </c>
      <c r="WAE19" s="174">
        <v>0.59</v>
      </c>
      <c r="WAF19" s="175">
        <v>0.59</v>
      </c>
      <c r="WAG19" s="175">
        <v>0.58</v>
      </c>
      <c r="WAH19" s="175">
        <v>0.57</v>
      </c>
      <c r="WAI19" s="175">
        <v>0.55</v>
      </c>
      <c r="WAJ19" s="175">
        <v>0.53</v>
      </c>
      <c r="WAK19" s="157" t="s">
        <v>67</v>
      </c>
      <c r="WAL19" s="157"/>
      <c r="WAM19" s="157"/>
      <c r="WAN19" s="173">
        <v>0.62</v>
      </c>
      <c r="WAO19" s="173">
        <v>0.61</v>
      </c>
      <c r="WAP19" s="173">
        <v>0.61</v>
      </c>
      <c r="WAQ19" s="173">
        <v>0.61</v>
      </c>
      <c r="WAR19" s="173">
        <v>0.6</v>
      </c>
      <c r="WAS19" s="174">
        <v>0.6</v>
      </c>
      <c r="WAT19" s="173">
        <v>0.6</v>
      </c>
      <c r="WAU19" s="174">
        <v>0.59</v>
      </c>
      <c r="WAV19" s="175">
        <v>0.59</v>
      </c>
      <c r="WAW19" s="175">
        <v>0.58</v>
      </c>
      <c r="WAX19" s="175">
        <v>0.57</v>
      </c>
      <c r="WAY19" s="175">
        <v>0.55</v>
      </c>
      <c r="WAZ19" s="175">
        <v>0.53</v>
      </c>
      <c r="WBA19" s="157" t="s">
        <v>67</v>
      </c>
      <c r="WBB19" s="157"/>
      <c r="WBC19" s="157"/>
      <c r="WBD19" s="173">
        <v>0.62</v>
      </c>
      <c r="WBE19" s="173">
        <v>0.61</v>
      </c>
      <c r="WBF19" s="173">
        <v>0.61</v>
      </c>
      <c r="WBG19" s="173">
        <v>0.61</v>
      </c>
      <c r="WBH19" s="173">
        <v>0.6</v>
      </c>
      <c r="WBI19" s="174">
        <v>0.6</v>
      </c>
      <c r="WBJ19" s="173">
        <v>0.6</v>
      </c>
      <c r="WBK19" s="174">
        <v>0.59</v>
      </c>
      <c r="WBL19" s="175">
        <v>0.59</v>
      </c>
      <c r="WBM19" s="175">
        <v>0.58</v>
      </c>
      <c r="WBN19" s="175">
        <v>0.57</v>
      </c>
      <c r="WBO19" s="175">
        <v>0.55</v>
      </c>
      <c r="WBP19" s="175">
        <v>0.53</v>
      </c>
      <c r="WBQ19" s="157" t="s">
        <v>67</v>
      </c>
      <c r="WBR19" s="157"/>
      <c r="WBS19" s="157"/>
      <c r="WBT19" s="173">
        <v>0.62</v>
      </c>
      <c r="WBU19" s="173">
        <v>0.61</v>
      </c>
      <c r="WBV19" s="173">
        <v>0.61</v>
      </c>
      <c r="WBW19" s="173">
        <v>0.61</v>
      </c>
      <c r="WBX19" s="173">
        <v>0.6</v>
      </c>
      <c r="WBY19" s="174">
        <v>0.6</v>
      </c>
      <c r="WBZ19" s="173">
        <v>0.6</v>
      </c>
      <c r="WCA19" s="174">
        <v>0.59</v>
      </c>
      <c r="WCB19" s="175">
        <v>0.59</v>
      </c>
      <c r="WCC19" s="175">
        <v>0.58</v>
      </c>
      <c r="WCD19" s="175">
        <v>0.57</v>
      </c>
      <c r="WCE19" s="175">
        <v>0.55</v>
      </c>
      <c r="WCF19" s="175">
        <v>0.53</v>
      </c>
      <c r="WCG19" s="157" t="s">
        <v>67</v>
      </c>
      <c r="WCH19" s="157"/>
      <c r="WCI19" s="157"/>
      <c r="WCJ19" s="173">
        <v>0.62</v>
      </c>
      <c r="WCK19" s="173">
        <v>0.61</v>
      </c>
      <c r="WCL19" s="173">
        <v>0.61</v>
      </c>
      <c r="WCM19" s="173">
        <v>0.61</v>
      </c>
      <c r="WCN19" s="173">
        <v>0.6</v>
      </c>
      <c r="WCO19" s="174">
        <v>0.6</v>
      </c>
      <c r="WCP19" s="173">
        <v>0.6</v>
      </c>
      <c r="WCQ19" s="174">
        <v>0.59</v>
      </c>
      <c r="WCR19" s="175">
        <v>0.59</v>
      </c>
      <c r="WCS19" s="175">
        <v>0.58</v>
      </c>
      <c r="WCT19" s="175">
        <v>0.57</v>
      </c>
      <c r="WCU19" s="175">
        <v>0.55</v>
      </c>
      <c r="WCV19" s="175">
        <v>0.53</v>
      </c>
      <c r="WCW19" s="157" t="s">
        <v>67</v>
      </c>
      <c r="WCX19" s="157"/>
      <c r="WCY19" s="157"/>
      <c r="WCZ19" s="173">
        <v>0.62</v>
      </c>
      <c r="WDA19" s="173">
        <v>0.61</v>
      </c>
      <c r="WDB19" s="173">
        <v>0.61</v>
      </c>
      <c r="WDC19" s="173">
        <v>0.61</v>
      </c>
      <c r="WDD19" s="173">
        <v>0.6</v>
      </c>
      <c r="WDE19" s="174">
        <v>0.6</v>
      </c>
      <c r="WDF19" s="173">
        <v>0.6</v>
      </c>
      <c r="WDG19" s="174">
        <v>0.59</v>
      </c>
      <c r="WDH19" s="175">
        <v>0.59</v>
      </c>
      <c r="WDI19" s="175">
        <v>0.58</v>
      </c>
      <c r="WDJ19" s="175">
        <v>0.57</v>
      </c>
      <c r="WDK19" s="175">
        <v>0.55</v>
      </c>
      <c r="WDL19" s="175">
        <v>0.53</v>
      </c>
      <c r="WDM19" s="157" t="s">
        <v>67</v>
      </c>
      <c r="WDN19" s="157"/>
      <c r="WDO19" s="157"/>
      <c r="WDP19" s="173">
        <v>0.62</v>
      </c>
      <c r="WDQ19" s="173">
        <v>0.61</v>
      </c>
      <c r="WDR19" s="173">
        <v>0.61</v>
      </c>
      <c r="WDS19" s="173">
        <v>0.61</v>
      </c>
      <c r="WDT19" s="173">
        <v>0.6</v>
      </c>
      <c r="WDU19" s="174">
        <v>0.6</v>
      </c>
      <c r="WDV19" s="173">
        <v>0.6</v>
      </c>
      <c r="WDW19" s="174">
        <v>0.59</v>
      </c>
      <c r="WDX19" s="175">
        <v>0.59</v>
      </c>
      <c r="WDY19" s="175">
        <v>0.58</v>
      </c>
      <c r="WDZ19" s="175">
        <v>0.57</v>
      </c>
      <c r="WEA19" s="175">
        <v>0.55</v>
      </c>
      <c r="WEB19" s="175">
        <v>0.53</v>
      </c>
      <c r="WEC19" s="157" t="s">
        <v>67</v>
      </c>
      <c r="WED19" s="157"/>
      <c r="WEE19" s="157"/>
      <c r="WEF19" s="173">
        <v>0.62</v>
      </c>
      <c r="WEG19" s="173">
        <v>0.61</v>
      </c>
      <c r="WEH19" s="173">
        <v>0.61</v>
      </c>
      <c r="WEI19" s="173">
        <v>0.61</v>
      </c>
      <c r="WEJ19" s="173">
        <v>0.6</v>
      </c>
      <c r="WEK19" s="174">
        <v>0.6</v>
      </c>
      <c r="WEL19" s="173">
        <v>0.6</v>
      </c>
      <c r="WEM19" s="174">
        <v>0.59</v>
      </c>
      <c r="WEN19" s="175">
        <v>0.59</v>
      </c>
      <c r="WEO19" s="175">
        <v>0.58</v>
      </c>
      <c r="WEP19" s="175">
        <v>0.57</v>
      </c>
      <c r="WEQ19" s="175">
        <v>0.55</v>
      </c>
      <c r="WER19" s="175">
        <v>0.53</v>
      </c>
      <c r="WES19" s="157" t="s">
        <v>67</v>
      </c>
      <c r="WET19" s="157"/>
      <c r="WEU19" s="157"/>
      <c r="WEV19" s="173">
        <v>0.62</v>
      </c>
      <c r="WEW19" s="173">
        <v>0.61</v>
      </c>
      <c r="WEX19" s="173">
        <v>0.61</v>
      </c>
      <c r="WEY19" s="173">
        <v>0.61</v>
      </c>
      <c r="WEZ19" s="173">
        <v>0.6</v>
      </c>
      <c r="WFA19" s="174">
        <v>0.6</v>
      </c>
      <c r="WFB19" s="173">
        <v>0.6</v>
      </c>
      <c r="WFC19" s="174">
        <v>0.59</v>
      </c>
      <c r="WFD19" s="175">
        <v>0.59</v>
      </c>
      <c r="WFE19" s="175">
        <v>0.58</v>
      </c>
      <c r="WFF19" s="175">
        <v>0.57</v>
      </c>
      <c r="WFG19" s="175">
        <v>0.55</v>
      </c>
      <c r="WFH19" s="175">
        <v>0.53</v>
      </c>
      <c r="WFI19" s="157" t="s">
        <v>67</v>
      </c>
      <c r="WFJ19" s="157"/>
      <c r="WFK19" s="157"/>
      <c r="WFL19" s="173">
        <v>0.62</v>
      </c>
      <c r="WFM19" s="173">
        <v>0.61</v>
      </c>
      <c r="WFN19" s="173">
        <v>0.61</v>
      </c>
      <c r="WFO19" s="173">
        <v>0.61</v>
      </c>
      <c r="WFP19" s="173">
        <v>0.6</v>
      </c>
      <c r="WFQ19" s="174">
        <v>0.6</v>
      </c>
      <c r="WFR19" s="173">
        <v>0.6</v>
      </c>
      <c r="WFS19" s="174">
        <v>0.59</v>
      </c>
      <c r="WFT19" s="175">
        <v>0.59</v>
      </c>
      <c r="WFU19" s="175">
        <v>0.58</v>
      </c>
      <c r="WFV19" s="175">
        <v>0.57</v>
      </c>
      <c r="WFW19" s="175">
        <v>0.55</v>
      </c>
      <c r="WFX19" s="175">
        <v>0.53</v>
      </c>
      <c r="WFY19" s="157" t="s">
        <v>67</v>
      </c>
      <c r="WFZ19" s="157"/>
      <c r="WGA19" s="157"/>
      <c r="WGB19" s="173">
        <v>0.62</v>
      </c>
      <c r="WGC19" s="173">
        <v>0.61</v>
      </c>
      <c r="WGD19" s="173">
        <v>0.61</v>
      </c>
      <c r="WGE19" s="173">
        <v>0.61</v>
      </c>
      <c r="WGF19" s="173">
        <v>0.6</v>
      </c>
      <c r="WGG19" s="174">
        <v>0.6</v>
      </c>
      <c r="WGH19" s="173">
        <v>0.6</v>
      </c>
      <c r="WGI19" s="174">
        <v>0.59</v>
      </c>
      <c r="WGJ19" s="175">
        <v>0.59</v>
      </c>
      <c r="WGK19" s="175">
        <v>0.58</v>
      </c>
      <c r="WGL19" s="175">
        <v>0.57</v>
      </c>
      <c r="WGM19" s="175">
        <v>0.55</v>
      </c>
      <c r="WGN19" s="175">
        <v>0.53</v>
      </c>
      <c r="WGO19" s="157" t="s">
        <v>67</v>
      </c>
      <c r="WGP19" s="157"/>
      <c r="WGQ19" s="157"/>
      <c r="WGR19" s="173">
        <v>0.62</v>
      </c>
      <c r="WGS19" s="173">
        <v>0.61</v>
      </c>
      <c r="WGT19" s="173">
        <v>0.61</v>
      </c>
      <c r="WGU19" s="173">
        <v>0.61</v>
      </c>
      <c r="WGV19" s="173">
        <v>0.6</v>
      </c>
      <c r="WGW19" s="174">
        <v>0.6</v>
      </c>
      <c r="WGX19" s="173">
        <v>0.6</v>
      </c>
      <c r="WGY19" s="174">
        <v>0.59</v>
      </c>
      <c r="WGZ19" s="175">
        <v>0.59</v>
      </c>
      <c r="WHA19" s="175">
        <v>0.58</v>
      </c>
      <c r="WHB19" s="175">
        <v>0.57</v>
      </c>
      <c r="WHC19" s="175">
        <v>0.55</v>
      </c>
      <c r="WHD19" s="175">
        <v>0.53</v>
      </c>
      <c r="WHE19" s="157" t="s">
        <v>67</v>
      </c>
      <c r="WHF19" s="157"/>
      <c r="WHG19" s="157"/>
      <c r="WHH19" s="173">
        <v>0.62</v>
      </c>
      <c r="WHI19" s="173">
        <v>0.61</v>
      </c>
      <c r="WHJ19" s="173">
        <v>0.61</v>
      </c>
      <c r="WHK19" s="173">
        <v>0.61</v>
      </c>
      <c r="WHL19" s="173">
        <v>0.6</v>
      </c>
      <c r="WHM19" s="174">
        <v>0.6</v>
      </c>
      <c r="WHN19" s="173">
        <v>0.6</v>
      </c>
      <c r="WHO19" s="174">
        <v>0.59</v>
      </c>
      <c r="WHP19" s="175">
        <v>0.59</v>
      </c>
      <c r="WHQ19" s="175">
        <v>0.58</v>
      </c>
      <c r="WHR19" s="175">
        <v>0.57</v>
      </c>
      <c r="WHS19" s="175">
        <v>0.55</v>
      </c>
      <c r="WHT19" s="175">
        <v>0.53</v>
      </c>
      <c r="WHU19" s="157" t="s">
        <v>67</v>
      </c>
      <c r="WHV19" s="157"/>
      <c r="WHW19" s="157"/>
      <c r="WHX19" s="173">
        <v>0.62</v>
      </c>
      <c r="WHY19" s="173">
        <v>0.61</v>
      </c>
      <c r="WHZ19" s="173">
        <v>0.61</v>
      </c>
      <c r="WIA19" s="173">
        <v>0.61</v>
      </c>
      <c r="WIB19" s="173">
        <v>0.6</v>
      </c>
      <c r="WIC19" s="174">
        <v>0.6</v>
      </c>
      <c r="WID19" s="173">
        <v>0.6</v>
      </c>
      <c r="WIE19" s="174">
        <v>0.59</v>
      </c>
      <c r="WIF19" s="175">
        <v>0.59</v>
      </c>
      <c r="WIG19" s="175">
        <v>0.58</v>
      </c>
      <c r="WIH19" s="175">
        <v>0.57</v>
      </c>
      <c r="WII19" s="175">
        <v>0.55</v>
      </c>
      <c r="WIJ19" s="175">
        <v>0.53</v>
      </c>
      <c r="WIK19" s="157" t="s">
        <v>67</v>
      </c>
      <c r="WIL19" s="157"/>
      <c r="WIM19" s="157"/>
      <c r="WIN19" s="173">
        <v>0.62</v>
      </c>
      <c r="WIO19" s="173">
        <v>0.61</v>
      </c>
      <c r="WIP19" s="173">
        <v>0.61</v>
      </c>
      <c r="WIQ19" s="173">
        <v>0.61</v>
      </c>
      <c r="WIR19" s="173">
        <v>0.6</v>
      </c>
      <c r="WIS19" s="174">
        <v>0.6</v>
      </c>
      <c r="WIT19" s="173">
        <v>0.6</v>
      </c>
      <c r="WIU19" s="174">
        <v>0.59</v>
      </c>
      <c r="WIV19" s="175">
        <v>0.59</v>
      </c>
      <c r="WIW19" s="175">
        <v>0.58</v>
      </c>
      <c r="WIX19" s="175">
        <v>0.57</v>
      </c>
      <c r="WIY19" s="175">
        <v>0.55</v>
      </c>
      <c r="WIZ19" s="175">
        <v>0.53</v>
      </c>
      <c r="WJA19" s="157" t="s">
        <v>67</v>
      </c>
      <c r="WJB19" s="157"/>
      <c r="WJC19" s="157"/>
      <c r="WJD19" s="173">
        <v>0.62</v>
      </c>
      <c r="WJE19" s="173">
        <v>0.61</v>
      </c>
      <c r="WJF19" s="173">
        <v>0.61</v>
      </c>
      <c r="WJG19" s="173">
        <v>0.61</v>
      </c>
      <c r="WJH19" s="173">
        <v>0.6</v>
      </c>
      <c r="WJI19" s="174">
        <v>0.6</v>
      </c>
      <c r="WJJ19" s="173">
        <v>0.6</v>
      </c>
      <c r="WJK19" s="174">
        <v>0.59</v>
      </c>
      <c r="WJL19" s="175">
        <v>0.59</v>
      </c>
      <c r="WJM19" s="175">
        <v>0.58</v>
      </c>
      <c r="WJN19" s="175">
        <v>0.57</v>
      </c>
      <c r="WJO19" s="175">
        <v>0.55</v>
      </c>
      <c r="WJP19" s="175">
        <v>0.53</v>
      </c>
      <c r="WJQ19" s="157" t="s">
        <v>67</v>
      </c>
      <c r="WJR19" s="157"/>
      <c r="WJS19" s="157"/>
      <c r="WJT19" s="173">
        <v>0.62</v>
      </c>
      <c r="WJU19" s="173">
        <v>0.61</v>
      </c>
      <c r="WJV19" s="173">
        <v>0.61</v>
      </c>
      <c r="WJW19" s="173">
        <v>0.61</v>
      </c>
      <c r="WJX19" s="173">
        <v>0.6</v>
      </c>
      <c r="WJY19" s="174">
        <v>0.6</v>
      </c>
      <c r="WJZ19" s="173">
        <v>0.6</v>
      </c>
      <c r="WKA19" s="174">
        <v>0.59</v>
      </c>
      <c r="WKB19" s="175">
        <v>0.59</v>
      </c>
      <c r="WKC19" s="175">
        <v>0.58</v>
      </c>
      <c r="WKD19" s="175">
        <v>0.57</v>
      </c>
      <c r="WKE19" s="175">
        <v>0.55</v>
      </c>
      <c r="WKF19" s="175">
        <v>0.53</v>
      </c>
      <c r="WKG19" s="157" t="s">
        <v>67</v>
      </c>
      <c r="WKH19" s="157"/>
      <c r="WKI19" s="157"/>
      <c r="WKJ19" s="173">
        <v>0.62</v>
      </c>
      <c r="WKK19" s="173">
        <v>0.61</v>
      </c>
      <c r="WKL19" s="173">
        <v>0.61</v>
      </c>
      <c r="WKM19" s="173">
        <v>0.61</v>
      </c>
      <c r="WKN19" s="173">
        <v>0.6</v>
      </c>
      <c r="WKO19" s="174">
        <v>0.6</v>
      </c>
      <c r="WKP19" s="173">
        <v>0.6</v>
      </c>
      <c r="WKQ19" s="174">
        <v>0.59</v>
      </c>
      <c r="WKR19" s="175">
        <v>0.59</v>
      </c>
      <c r="WKS19" s="175">
        <v>0.58</v>
      </c>
      <c r="WKT19" s="175">
        <v>0.57</v>
      </c>
      <c r="WKU19" s="175">
        <v>0.55</v>
      </c>
      <c r="WKV19" s="175">
        <v>0.53</v>
      </c>
      <c r="WKW19" s="157" t="s">
        <v>67</v>
      </c>
      <c r="WKX19" s="157"/>
      <c r="WKY19" s="157"/>
      <c r="WKZ19" s="173">
        <v>0.62</v>
      </c>
      <c r="WLA19" s="173">
        <v>0.61</v>
      </c>
      <c r="WLB19" s="173">
        <v>0.61</v>
      </c>
      <c r="WLC19" s="173">
        <v>0.61</v>
      </c>
      <c r="WLD19" s="173">
        <v>0.6</v>
      </c>
      <c r="WLE19" s="174">
        <v>0.6</v>
      </c>
      <c r="WLF19" s="173">
        <v>0.6</v>
      </c>
      <c r="WLG19" s="174">
        <v>0.59</v>
      </c>
      <c r="WLH19" s="175">
        <v>0.59</v>
      </c>
      <c r="WLI19" s="175">
        <v>0.58</v>
      </c>
      <c r="WLJ19" s="175">
        <v>0.57</v>
      </c>
      <c r="WLK19" s="175">
        <v>0.55</v>
      </c>
      <c r="WLL19" s="175">
        <v>0.53</v>
      </c>
      <c r="WLM19" s="157" t="s">
        <v>67</v>
      </c>
      <c r="WLN19" s="157"/>
      <c r="WLO19" s="157"/>
      <c r="WLP19" s="173">
        <v>0.62</v>
      </c>
      <c r="WLQ19" s="173">
        <v>0.61</v>
      </c>
      <c r="WLR19" s="173">
        <v>0.61</v>
      </c>
      <c r="WLS19" s="173">
        <v>0.61</v>
      </c>
      <c r="WLT19" s="173">
        <v>0.6</v>
      </c>
      <c r="WLU19" s="174">
        <v>0.6</v>
      </c>
      <c r="WLV19" s="173">
        <v>0.6</v>
      </c>
      <c r="WLW19" s="174">
        <v>0.59</v>
      </c>
      <c r="WLX19" s="175">
        <v>0.59</v>
      </c>
      <c r="WLY19" s="175">
        <v>0.58</v>
      </c>
      <c r="WLZ19" s="175">
        <v>0.57</v>
      </c>
      <c r="WMA19" s="175">
        <v>0.55</v>
      </c>
      <c r="WMB19" s="175">
        <v>0.53</v>
      </c>
      <c r="WMC19" s="157" t="s">
        <v>67</v>
      </c>
      <c r="WMD19" s="157"/>
      <c r="WME19" s="157"/>
      <c r="WMF19" s="173">
        <v>0.62</v>
      </c>
      <c r="WMG19" s="173">
        <v>0.61</v>
      </c>
      <c r="WMH19" s="173">
        <v>0.61</v>
      </c>
      <c r="WMI19" s="173">
        <v>0.61</v>
      </c>
      <c r="WMJ19" s="173">
        <v>0.6</v>
      </c>
      <c r="WMK19" s="174">
        <v>0.6</v>
      </c>
      <c r="WML19" s="173">
        <v>0.6</v>
      </c>
      <c r="WMM19" s="174">
        <v>0.59</v>
      </c>
      <c r="WMN19" s="175">
        <v>0.59</v>
      </c>
      <c r="WMO19" s="175">
        <v>0.58</v>
      </c>
      <c r="WMP19" s="175">
        <v>0.57</v>
      </c>
      <c r="WMQ19" s="175">
        <v>0.55</v>
      </c>
      <c r="WMR19" s="175">
        <v>0.53</v>
      </c>
      <c r="WMS19" s="157" t="s">
        <v>67</v>
      </c>
      <c r="WMT19" s="157"/>
      <c r="WMU19" s="157"/>
      <c r="WMV19" s="173">
        <v>0.62</v>
      </c>
      <c r="WMW19" s="173">
        <v>0.61</v>
      </c>
      <c r="WMX19" s="173">
        <v>0.61</v>
      </c>
      <c r="WMY19" s="173">
        <v>0.61</v>
      </c>
      <c r="WMZ19" s="173">
        <v>0.6</v>
      </c>
      <c r="WNA19" s="174">
        <v>0.6</v>
      </c>
      <c r="WNB19" s="173">
        <v>0.6</v>
      </c>
      <c r="WNC19" s="174">
        <v>0.59</v>
      </c>
      <c r="WND19" s="175">
        <v>0.59</v>
      </c>
      <c r="WNE19" s="175">
        <v>0.58</v>
      </c>
      <c r="WNF19" s="175">
        <v>0.57</v>
      </c>
      <c r="WNG19" s="175">
        <v>0.55</v>
      </c>
      <c r="WNH19" s="175">
        <v>0.53</v>
      </c>
      <c r="WNI19" s="157" t="s">
        <v>67</v>
      </c>
      <c r="WNJ19" s="157"/>
      <c r="WNK19" s="157"/>
      <c r="WNL19" s="173">
        <v>0.62</v>
      </c>
      <c r="WNM19" s="173">
        <v>0.61</v>
      </c>
      <c r="WNN19" s="173">
        <v>0.61</v>
      </c>
      <c r="WNO19" s="173">
        <v>0.61</v>
      </c>
      <c r="WNP19" s="173">
        <v>0.6</v>
      </c>
      <c r="WNQ19" s="174">
        <v>0.6</v>
      </c>
      <c r="WNR19" s="173">
        <v>0.6</v>
      </c>
      <c r="WNS19" s="174">
        <v>0.59</v>
      </c>
      <c r="WNT19" s="175">
        <v>0.59</v>
      </c>
      <c r="WNU19" s="175">
        <v>0.58</v>
      </c>
      <c r="WNV19" s="175">
        <v>0.57</v>
      </c>
      <c r="WNW19" s="175">
        <v>0.55</v>
      </c>
      <c r="WNX19" s="175">
        <v>0.53</v>
      </c>
      <c r="WNY19" s="157" t="s">
        <v>67</v>
      </c>
      <c r="WNZ19" s="157"/>
      <c r="WOA19" s="157"/>
      <c r="WOB19" s="173">
        <v>0.62</v>
      </c>
      <c r="WOC19" s="173">
        <v>0.61</v>
      </c>
      <c r="WOD19" s="173">
        <v>0.61</v>
      </c>
      <c r="WOE19" s="173">
        <v>0.61</v>
      </c>
      <c r="WOF19" s="173">
        <v>0.6</v>
      </c>
      <c r="WOG19" s="174">
        <v>0.6</v>
      </c>
      <c r="WOH19" s="173">
        <v>0.6</v>
      </c>
      <c r="WOI19" s="174">
        <v>0.59</v>
      </c>
      <c r="WOJ19" s="175">
        <v>0.59</v>
      </c>
      <c r="WOK19" s="175">
        <v>0.58</v>
      </c>
      <c r="WOL19" s="175">
        <v>0.57</v>
      </c>
      <c r="WOM19" s="175">
        <v>0.55</v>
      </c>
      <c r="WON19" s="175">
        <v>0.53</v>
      </c>
      <c r="WOO19" s="157" t="s">
        <v>67</v>
      </c>
      <c r="WOP19" s="157"/>
      <c r="WOQ19" s="157"/>
      <c r="WOR19" s="173">
        <v>0.62</v>
      </c>
      <c r="WOS19" s="173">
        <v>0.61</v>
      </c>
      <c r="WOT19" s="173">
        <v>0.61</v>
      </c>
      <c r="WOU19" s="173">
        <v>0.61</v>
      </c>
      <c r="WOV19" s="173">
        <v>0.6</v>
      </c>
      <c r="WOW19" s="174">
        <v>0.6</v>
      </c>
      <c r="WOX19" s="173">
        <v>0.6</v>
      </c>
      <c r="WOY19" s="174">
        <v>0.59</v>
      </c>
      <c r="WOZ19" s="175">
        <v>0.59</v>
      </c>
      <c r="WPA19" s="175">
        <v>0.58</v>
      </c>
      <c r="WPB19" s="175">
        <v>0.57</v>
      </c>
      <c r="WPC19" s="175">
        <v>0.55</v>
      </c>
      <c r="WPD19" s="175">
        <v>0.53</v>
      </c>
      <c r="WPE19" s="157" t="s">
        <v>67</v>
      </c>
      <c r="WPF19" s="157"/>
      <c r="WPG19" s="157"/>
      <c r="WPH19" s="173">
        <v>0.62</v>
      </c>
      <c r="WPI19" s="173">
        <v>0.61</v>
      </c>
      <c r="WPJ19" s="173">
        <v>0.61</v>
      </c>
      <c r="WPK19" s="173">
        <v>0.61</v>
      </c>
      <c r="WPL19" s="173">
        <v>0.6</v>
      </c>
      <c r="WPM19" s="174">
        <v>0.6</v>
      </c>
      <c r="WPN19" s="173">
        <v>0.6</v>
      </c>
      <c r="WPO19" s="174">
        <v>0.59</v>
      </c>
      <c r="WPP19" s="175">
        <v>0.59</v>
      </c>
      <c r="WPQ19" s="175">
        <v>0.58</v>
      </c>
      <c r="WPR19" s="175">
        <v>0.57</v>
      </c>
      <c r="WPS19" s="175">
        <v>0.55</v>
      </c>
      <c r="WPT19" s="175">
        <v>0.53</v>
      </c>
      <c r="WPU19" s="157" t="s">
        <v>67</v>
      </c>
      <c r="WPV19" s="157"/>
      <c r="WPW19" s="157"/>
      <c r="WPX19" s="173">
        <v>0.62</v>
      </c>
      <c r="WPY19" s="173">
        <v>0.61</v>
      </c>
      <c r="WPZ19" s="173">
        <v>0.61</v>
      </c>
      <c r="WQA19" s="173">
        <v>0.61</v>
      </c>
      <c r="WQB19" s="173">
        <v>0.6</v>
      </c>
      <c r="WQC19" s="174">
        <v>0.6</v>
      </c>
      <c r="WQD19" s="173">
        <v>0.6</v>
      </c>
      <c r="WQE19" s="174">
        <v>0.59</v>
      </c>
      <c r="WQF19" s="175">
        <v>0.59</v>
      </c>
      <c r="WQG19" s="175">
        <v>0.58</v>
      </c>
      <c r="WQH19" s="175">
        <v>0.57</v>
      </c>
      <c r="WQI19" s="175">
        <v>0.55</v>
      </c>
      <c r="WQJ19" s="175">
        <v>0.53</v>
      </c>
      <c r="WQK19" s="157" t="s">
        <v>67</v>
      </c>
      <c r="WQL19" s="157"/>
      <c r="WQM19" s="157"/>
      <c r="WQN19" s="173">
        <v>0.62</v>
      </c>
      <c r="WQO19" s="173">
        <v>0.61</v>
      </c>
      <c r="WQP19" s="173">
        <v>0.61</v>
      </c>
      <c r="WQQ19" s="173">
        <v>0.61</v>
      </c>
      <c r="WQR19" s="173">
        <v>0.6</v>
      </c>
      <c r="WQS19" s="174">
        <v>0.6</v>
      </c>
      <c r="WQT19" s="173">
        <v>0.6</v>
      </c>
      <c r="WQU19" s="174">
        <v>0.59</v>
      </c>
      <c r="WQV19" s="175">
        <v>0.59</v>
      </c>
      <c r="WQW19" s="175">
        <v>0.58</v>
      </c>
      <c r="WQX19" s="175">
        <v>0.57</v>
      </c>
      <c r="WQY19" s="175">
        <v>0.55</v>
      </c>
      <c r="WQZ19" s="175">
        <v>0.53</v>
      </c>
      <c r="WRA19" s="157" t="s">
        <v>67</v>
      </c>
      <c r="WRB19" s="157"/>
      <c r="WRC19" s="157"/>
      <c r="WRD19" s="173">
        <v>0.62</v>
      </c>
      <c r="WRE19" s="173">
        <v>0.61</v>
      </c>
      <c r="WRF19" s="173">
        <v>0.61</v>
      </c>
      <c r="WRG19" s="173">
        <v>0.61</v>
      </c>
      <c r="WRH19" s="173">
        <v>0.6</v>
      </c>
      <c r="WRI19" s="174">
        <v>0.6</v>
      </c>
      <c r="WRJ19" s="173">
        <v>0.6</v>
      </c>
      <c r="WRK19" s="174">
        <v>0.59</v>
      </c>
      <c r="WRL19" s="175">
        <v>0.59</v>
      </c>
      <c r="WRM19" s="175">
        <v>0.58</v>
      </c>
      <c r="WRN19" s="175">
        <v>0.57</v>
      </c>
      <c r="WRO19" s="175">
        <v>0.55</v>
      </c>
      <c r="WRP19" s="175">
        <v>0.53</v>
      </c>
      <c r="WRQ19" s="157" t="s">
        <v>67</v>
      </c>
      <c r="WRR19" s="157"/>
      <c r="WRS19" s="157"/>
      <c r="WRT19" s="173">
        <v>0.62</v>
      </c>
      <c r="WRU19" s="173">
        <v>0.61</v>
      </c>
      <c r="WRV19" s="173">
        <v>0.61</v>
      </c>
      <c r="WRW19" s="173">
        <v>0.61</v>
      </c>
      <c r="WRX19" s="173">
        <v>0.6</v>
      </c>
      <c r="WRY19" s="174">
        <v>0.6</v>
      </c>
      <c r="WRZ19" s="173">
        <v>0.6</v>
      </c>
      <c r="WSA19" s="174">
        <v>0.59</v>
      </c>
      <c r="WSB19" s="175">
        <v>0.59</v>
      </c>
      <c r="WSC19" s="175">
        <v>0.58</v>
      </c>
      <c r="WSD19" s="175">
        <v>0.57</v>
      </c>
      <c r="WSE19" s="175">
        <v>0.55</v>
      </c>
      <c r="WSF19" s="175">
        <v>0.53</v>
      </c>
      <c r="WSG19" s="157" t="s">
        <v>67</v>
      </c>
      <c r="WSH19" s="157"/>
      <c r="WSI19" s="157"/>
      <c r="WSJ19" s="173">
        <v>0.62</v>
      </c>
      <c r="WSK19" s="173">
        <v>0.61</v>
      </c>
      <c r="WSL19" s="173">
        <v>0.61</v>
      </c>
      <c r="WSM19" s="173">
        <v>0.61</v>
      </c>
      <c r="WSN19" s="173">
        <v>0.6</v>
      </c>
      <c r="WSO19" s="174">
        <v>0.6</v>
      </c>
      <c r="WSP19" s="173">
        <v>0.6</v>
      </c>
      <c r="WSQ19" s="174">
        <v>0.59</v>
      </c>
      <c r="WSR19" s="175">
        <v>0.59</v>
      </c>
      <c r="WSS19" s="175">
        <v>0.58</v>
      </c>
      <c r="WST19" s="175">
        <v>0.57</v>
      </c>
      <c r="WSU19" s="175">
        <v>0.55</v>
      </c>
      <c r="WSV19" s="175">
        <v>0.53</v>
      </c>
      <c r="WSW19" s="157" t="s">
        <v>67</v>
      </c>
      <c r="WSX19" s="157"/>
      <c r="WSY19" s="157"/>
      <c r="WSZ19" s="173">
        <v>0.62</v>
      </c>
      <c r="WTA19" s="173">
        <v>0.61</v>
      </c>
      <c r="WTB19" s="173">
        <v>0.61</v>
      </c>
      <c r="WTC19" s="173">
        <v>0.61</v>
      </c>
      <c r="WTD19" s="173">
        <v>0.6</v>
      </c>
      <c r="WTE19" s="174">
        <v>0.6</v>
      </c>
      <c r="WTF19" s="173">
        <v>0.6</v>
      </c>
      <c r="WTG19" s="174">
        <v>0.59</v>
      </c>
      <c r="WTH19" s="175">
        <v>0.59</v>
      </c>
      <c r="WTI19" s="175">
        <v>0.58</v>
      </c>
      <c r="WTJ19" s="175">
        <v>0.57</v>
      </c>
      <c r="WTK19" s="175">
        <v>0.55</v>
      </c>
      <c r="WTL19" s="175">
        <v>0.53</v>
      </c>
      <c r="WTM19" s="157" t="s">
        <v>67</v>
      </c>
      <c r="WTN19" s="157"/>
      <c r="WTO19" s="157"/>
      <c r="WTP19" s="173">
        <v>0.62</v>
      </c>
      <c r="WTQ19" s="173">
        <v>0.61</v>
      </c>
      <c r="WTR19" s="173">
        <v>0.61</v>
      </c>
      <c r="WTS19" s="173">
        <v>0.61</v>
      </c>
      <c r="WTT19" s="173">
        <v>0.6</v>
      </c>
      <c r="WTU19" s="174">
        <v>0.6</v>
      </c>
      <c r="WTV19" s="173">
        <v>0.6</v>
      </c>
      <c r="WTW19" s="174">
        <v>0.59</v>
      </c>
      <c r="WTX19" s="175">
        <v>0.59</v>
      </c>
      <c r="WTY19" s="175">
        <v>0.58</v>
      </c>
      <c r="WTZ19" s="175">
        <v>0.57</v>
      </c>
      <c r="WUA19" s="175">
        <v>0.55</v>
      </c>
      <c r="WUB19" s="175">
        <v>0.53</v>
      </c>
      <c r="WUC19" s="157" t="s">
        <v>67</v>
      </c>
      <c r="WUD19" s="157"/>
      <c r="WUE19" s="157"/>
      <c r="WUF19" s="173">
        <v>0.62</v>
      </c>
      <c r="WUG19" s="173">
        <v>0.61</v>
      </c>
      <c r="WUH19" s="173">
        <v>0.61</v>
      </c>
      <c r="WUI19" s="173">
        <v>0.61</v>
      </c>
      <c r="WUJ19" s="173">
        <v>0.6</v>
      </c>
      <c r="WUK19" s="174">
        <v>0.6</v>
      </c>
      <c r="WUL19" s="173">
        <v>0.6</v>
      </c>
      <c r="WUM19" s="174">
        <v>0.59</v>
      </c>
      <c r="WUN19" s="175">
        <v>0.59</v>
      </c>
      <c r="WUO19" s="175">
        <v>0.58</v>
      </c>
      <c r="WUP19" s="175">
        <v>0.57</v>
      </c>
      <c r="WUQ19" s="175">
        <v>0.55</v>
      </c>
      <c r="WUR19" s="175">
        <v>0.53</v>
      </c>
      <c r="WUS19" s="157" t="s">
        <v>67</v>
      </c>
      <c r="WUT19" s="157"/>
      <c r="WUU19" s="157"/>
      <c r="WUV19" s="173">
        <v>0.62</v>
      </c>
      <c r="WUW19" s="173">
        <v>0.61</v>
      </c>
      <c r="WUX19" s="173">
        <v>0.61</v>
      </c>
      <c r="WUY19" s="173">
        <v>0.61</v>
      </c>
      <c r="WUZ19" s="173">
        <v>0.6</v>
      </c>
      <c r="WVA19" s="174">
        <v>0.6</v>
      </c>
      <c r="WVB19" s="173">
        <v>0.6</v>
      </c>
      <c r="WVC19" s="174">
        <v>0.59</v>
      </c>
      <c r="WVD19" s="175">
        <v>0.59</v>
      </c>
      <c r="WVE19" s="175">
        <v>0.58</v>
      </c>
      <c r="WVF19" s="175">
        <v>0.57</v>
      </c>
      <c r="WVG19" s="175">
        <v>0.55</v>
      </c>
      <c r="WVH19" s="175">
        <v>0.53</v>
      </c>
      <c r="WVI19" s="157" t="s">
        <v>67</v>
      </c>
      <c r="WVJ19" s="157"/>
      <c r="WVK19" s="157"/>
      <c r="WVL19" s="173">
        <v>0.62</v>
      </c>
      <c r="WVM19" s="173">
        <v>0.61</v>
      </c>
      <c r="WVN19" s="173">
        <v>0.61</v>
      </c>
      <c r="WVO19" s="173">
        <v>0.61</v>
      </c>
      <c r="WVP19" s="173">
        <v>0.6</v>
      </c>
      <c r="WVQ19" s="174">
        <v>0.6</v>
      </c>
      <c r="WVR19" s="173">
        <v>0.6</v>
      </c>
      <c r="WVS19" s="174">
        <v>0.59</v>
      </c>
      <c r="WVT19" s="175">
        <v>0.59</v>
      </c>
      <c r="WVU19" s="175">
        <v>0.58</v>
      </c>
      <c r="WVV19" s="175">
        <v>0.57</v>
      </c>
      <c r="WVW19" s="175">
        <v>0.55</v>
      </c>
      <c r="WVX19" s="175">
        <v>0.53</v>
      </c>
      <c r="WVY19" s="157" t="s">
        <v>67</v>
      </c>
      <c r="WVZ19" s="157"/>
      <c r="WWA19" s="157"/>
      <c r="WWB19" s="173">
        <v>0.62</v>
      </c>
      <c r="WWC19" s="173">
        <v>0.61</v>
      </c>
      <c r="WWD19" s="173">
        <v>0.61</v>
      </c>
      <c r="WWE19" s="173">
        <v>0.61</v>
      </c>
      <c r="WWF19" s="173">
        <v>0.6</v>
      </c>
      <c r="WWG19" s="174">
        <v>0.6</v>
      </c>
      <c r="WWH19" s="173">
        <v>0.6</v>
      </c>
      <c r="WWI19" s="174">
        <v>0.59</v>
      </c>
      <c r="WWJ19" s="175">
        <v>0.59</v>
      </c>
      <c r="WWK19" s="175">
        <v>0.58</v>
      </c>
      <c r="WWL19" s="175">
        <v>0.57</v>
      </c>
      <c r="WWM19" s="175">
        <v>0.55</v>
      </c>
      <c r="WWN19" s="175">
        <v>0.53</v>
      </c>
      <c r="WWO19" s="157" t="s">
        <v>67</v>
      </c>
      <c r="WWP19" s="157"/>
      <c r="WWQ19" s="157"/>
      <c r="WWR19" s="173">
        <v>0.62</v>
      </c>
      <c r="WWS19" s="173">
        <v>0.61</v>
      </c>
      <c r="WWT19" s="173">
        <v>0.61</v>
      </c>
      <c r="WWU19" s="173">
        <v>0.61</v>
      </c>
      <c r="WWV19" s="173">
        <v>0.6</v>
      </c>
      <c r="WWW19" s="174">
        <v>0.6</v>
      </c>
      <c r="WWX19" s="173">
        <v>0.6</v>
      </c>
      <c r="WWY19" s="174">
        <v>0.59</v>
      </c>
      <c r="WWZ19" s="175">
        <v>0.59</v>
      </c>
      <c r="WXA19" s="175">
        <v>0.58</v>
      </c>
      <c r="WXB19" s="175">
        <v>0.57</v>
      </c>
      <c r="WXC19" s="175">
        <v>0.55</v>
      </c>
      <c r="WXD19" s="175">
        <v>0.53</v>
      </c>
      <c r="WXE19" s="157" t="s">
        <v>67</v>
      </c>
      <c r="WXF19" s="157"/>
      <c r="WXG19" s="157"/>
      <c r="WXH19" s="173">
        <v>0.62</v>
      </c>
      <c r="WXI19" s="173">
        <v>0.61</v>
      </c>
      <c r="WXJ19" s="173">
        <v>0.61</v>
      </c>
      <c r="WXK19" s="173">
        <v>0.61</v>
      </c>
      <c r="WXL19" s="173">
        <v>0.6</v>
      </c>
      <c r="WXM19" s="174">
        <v>0.6</v>
      </c>
      <c r="WXN19" s="173">
        <v>0.6</v>
      </c>
      <c r="WXO19" s="174">
        <v>0.59</v>
      </c>
      <c r="WXP19" s="175">
        <v>0.59</v>
      </c>
      <c r="WXQ19" s="175">
        <v>0.58</v>
      </c>
      <c r="WXR19" s="175">
        <v>0.57</v>
      </c>
      <c r="WXS19" s="175">
        <v>0.55</v>
      </c>
      <c r="WXT19" s="175">
        <v>0.53</v>
      </c>
      <c r="WXU19" s="157" t="s">
        <v>67</v>
      </c>
      <c r="WXV19" s="157"/>
      <c r="WXW19" s="157"/>
      <c r="WXX19" s="173">
        <v>0.62</v>
      </c>
      <c r="WXY19" s="173">
        <v>0.61</v>
      </c>
      <c r="WXZ19" s="173">
        <v>0.61</v>
      </c>
      <c r="WYA19" s="173">
        <v>0.61</v>
      </c>
      <c r="WYB19" s="173">
        <v>0.6</v>
      </c>
      <c r="WYC19" s="174">
        <v>0.6</v>
      </c>
      <c r="WYD19" s="173">
        <v>0.6</v>
      </c>
      <c r="WYE19" s="174">
        <v>0.59</v>
      </c>
      <c r="WYF19" s="175">
        <v>0.59</v>
      </c>
      <c r="WYG19" s="175">
        <v>0.58</v>
      </c>
      <c r="WYH19" s="175">
        <v>0.57</v>
      </c>
      <c r="WYI19" s="175">
        <v>0.55</v>
      </c>
      <c r="WYJ19" s="175">
        <v>0.53</v>
      </c>
      <c r="WYK19" s="157" t="s">
        <v>67</v>
      </c>
      <c r="WYL19" s="157"/>
      <c r="WYM19" s="157"/>
      <c r="WYN19" s="173">
        <v>0.62</v>
      </c>
      <c r="WYO19" s="173">
        <v>0.61</v>
      </c>
      <c r="WYP19" s="173">
        <v>0.61</v>
      </c>
      <c r="WYQ19" s="173">
        <v>0.61</v>
      </c>
      <c r="WYR19" s="173">
        <v>0.6</v>
      </c>
      <c r="WYS19" s="174">
        <v>0.6</v>
      </c>
      <c r="WYT19" s="173">
        <v>0.6</v>
      </c>
      <c r="WYU19" s="174">
        <v>0.59</v>
      </c>
      <c r="WYV19" s="175">
        <v>0.59</v>
      </c>
      <c r="WYW19" s="175">
        <v>0.58</v>
      </c>
      <c r="WYX19" s="175">
        <v>0.57</v>
      </c>
      <c r="WYY19" s="175">
        <v>0.55</v>
      </c>
      <c r="WYZ19" s="175">
        <v>0.53</v>
      </c>
      <c r="WZA19" s="157" t="s">
        <v>67</v>
      </c>
      <c r="WZB19" s="157"/>
      <c r="WZC19" s="157"/>
      <c r="WZD19" s="173">
        <v>0.62</v>
      </c>
      <c r="WZE19" s="173">
        <v>0.61</v>
      </c>
      <c r="WZF19" s="173">
        <v>0.61</v>
      </c>
      <c r="WZG19" s="173">
        <v>0.61</v>
      </c>
      <c r="WZH19" s="173">
        <v>0.6</v>
      </c>
      <c r="WZI19" s="174">
        <v>0.6</v>
      </c>
      <c r="WZJ19" s="173">
        <v>0.6</v>
      </c>
      <c r="WZK19" s="174">
        <v>0.59</v>
      </c>
      <c r="WZL19" s="175">
        <v>0.59</v>
      </c>
      <c r="WZM19" s="175">
        <v>0.58</v>
      </c>
      <c r="WZN19" s="175">
        <v>0.57</v>
      </c>
      <c r="WZO19" s="175">
        <v>0.55</v>
      </c>
      <c r="WZP19" s="175">
        <v>0.53</v>
      </c>
      <c r="WZQ19" s="157" t="s">
        <v>67</v>
      </c>
      <c r="WZR19" s="157"/>
      <c r="WZS19" s="157"/>
      <c r="WZT19" s="173">
        <v>0.62</v>
      </c>
      <c r="WZU19" s="173">
        <v>0.61</v>
      </c>
      <c r="WZV19" s="173">
        <v>0.61</v>
      </c>
      <c r="WZW19" s="173">
        <v>0.61</v>
      </c>
      <c r="WZX19" s="173">
        <v>0.6</v>
      </c>
      <c r="WZY19" s="174">
        <v>0.6</v>
      </c>
      <c r="WZZ19" s="173">
        <v>0.6</v>
      </c>
      <c r="XAA19" s="174">
        <v>0.59</v>
      </c>
      <c r="XAB19" s="175">
        <v>0.59</v>
      </c>
      <c r="XAC19" s="175">
        <v>0.58</v>
      </c>
      <c r="XAD19" s="175">
        <v>0.57</v>
      </c>
      <c r="XAE19" s="175">
        <v>0.55</v>
      </c>
      <c r="XAF19" s="175">
        <v>0.53</v>
      </c>
      <c r="XAG19" s="157" t="s">
        <v>67</v>
      </c>
      <c r="XAH19" s="157"/>
      <c r="XAI19" s="157"/>
      <c r="XAJ19" s="173">
        <v>0.62</v>
      </c>
      <c r="XAK19" s="173">
        <v>0.61</v>
      </c>
      <c r="XAL19" s="173">
        <v>0.61</v>
      </c>
      <c r="XAM19" s="173">
        <v>0.61</v>
      </c>
      <c r="XAN19" s="173">
        <v>0.6</v>
      </c>
      <c r="XAO19" s="174">
        <v>0.6</v>
      </c>
      <c r="XAP19" s="173">
        <v>0.6</v>
      </c>
      <c r="XAQ19" s="174">
        <v>0.59</v>
      </c>
      <c r="XAR19" s="175">
        <v>0.59</v>
      </c>
      <c r="XAS19" s="175">
        <v>0.58</v>
      </c>
      <c r="XAT19" s="175">
        <v>0.57</v>
      </c>
      <c r="XAU19" s="175">
        <v>0.55</v>
      </c>
      <c r="XAV19" s="175">
        <v>0.53</v>
      </c>
      <c r="XAW19" s="157" t="s">
        <v>67</v>
      </c>
      <c r="XAX19" s="157"/>
      <c r="XAY19" s="157"/>
      <c r="XAZ19" s="173">
        <v>0.62</v>
      </c>
      <c r="XBA19" s="173">
        <v>0.61</v>
      </c>
      <c r="XBB19" s="173">
        <v>0.61</v>
      </c>
      <c r="XBC19" s="173">
        <v>0.61</v>
      </c>
      <c r="XBD19" s="173">
        <v>0.6</v>
      </c>
      <c r="XBE19" s="174">
        <v>0.6</v>
      </c>
      <c r="XBF19" s="173">
        <v>0.6</v>
      </c>
      <c r="XBG19" s="174">
        <v>0.59</v>
      </c>
      <c r="XBH19" s="175">
        <v>0.59</v>
      </c>
      <c r="XBI19" s="175">
        <v>0.58</v>
      </c>
      <c r="XBJ19" s="175">
        <v>0.57</v>
      </c>
      <c r="XBK19" s="175">
        <v>0.55</v>
      </c>
      <c r="XBL19" s="175">
        <v>0.53</v>
      </c>
      <c r="XBM19" s="157" t="s">
        <v>67</v>
      </c>
      <c r="XBN19" s="157"/>
      <c r="XBO19" s="157"/>
      <c r="XBP19" s="173">
        <v>0.62</v>
      </c>
      <c r="XBQ19" s="173">
        <v>0.61</v>
      </c>
      <c r="XBR19" s="173">
        <v>0.61</v>
      </c>
      <c r="XBS19" s="173">
        <v>0.61</v>
      </c>
      <c r="XBT19" s="173">
        <v>0.6</v>
      </c>
      <c r="XBU19" s="174">
        <v>0.6</v>
      </c>
      <c r="XBV19" s="173">
        <v>0.6</v>
      </c>
      <c r="XBW19" s="174">
        <v>0.59</v>
      </c>
      <c r="XBX19" s="175">
        <v>0.59</v>
      </c>
      <c r="XBY19" s="175">
        <v>0.58</v>
      </c>
      <c r="XBZ19" s="175">
        <v>0.57</v>
      </c>
      <c r="XCA19" s="175">
        <v>0.55</v>
      </c>
      <c r="XCB19" s="175">
        <v>0.53</v>
      </c>
      <c r="XCC19" s="157" t="s">
        <v>67</v>
      </c>
      <c r="XCD19" s="157"/>
      <c r="XCE19" s="157"/>
      <c r="XCF19" s="173">
        <v>0.62</v>
      </c>
      <c r="XCG19" s="173">
        <v>0.61</v>
      </c>
      <c r="XCH19" s="173">
        <v>0.61</v>
      </c>
      <c r="XCI19" s="173">
        <v>0.61</v>
      </c>
      <c r="XCJ19" s="173">
        <v>0.6</v>
      </c>
      <c r="XCK19" s="174">
        <v>0.6</v>
      </c>
      <c r="XCL19" s="173">
        <v>0.6</v>
      </c>
      <c r="XCM19" s="174">
        <v>0.59</v>
      </c>
      <c r="XCN19" s="175">
        <v>0.59</v>
      </c>
      <c r="XCO19" s="175">
        <v>0.58</v>
      </c>
      <c r="XCP19" s="175">
        <v>0.57</v>
      </c>
      <c r="XCQ19" s="175">
        <v>0.55</v>
      </c>
      <c r="XCR19" s="175">
        <v>0.53</v>
      </c>
      <c r="XCS19" s="157" t="s">
        <v>67</v>
      </c>
      <c r="XCT19" s="157"/>
      <c r="XCU19" s="157"/>
      <c r="XCV19" s="173">
        <v>0.62</v>
      </c>
      <c r="XCW19" s="173">
        <v>0.61</v>
      </c>
      <c r="XCX19" s="173">
        <v>0.61</v>
      </c>
      <c r="XCY19" s="173">
        <v>0.61</v>
      </c>
      <c r="XCZ19" s="173">
        <v>0.6</v>
      </c>
      <c r="XDA19" s="174">
        <v>0.6</v>
      </c>
      <c r="XDB19" s="173">
        <v>0.6</v>
      </c>
      <c r="XDC19" s="174">
        <v>0.59</v>
      </c>
      <c r="XDD19" s="175">
        <v>0.59</v>
      </c>
      <c r="XDE19" s="175">
        <v>0.58</v>
      </c>
      <c r="XDF19" s="175">
        <v>0.57</v>
      </c>
      <c r="XDG19" s="175">
        <v>0.55</v>
      </c>
      <c r="XDH19" s="175">
        <v>0.53</v>
      </c>
      <c r="XDI19" s="157" t="s">
        <v>67</v>
      </c>
      <c r="XDJ19" s="157"/>
      <c r="XDK19" s="157"/>
      <c r="XDL19" s="173">
        <v>0.62</v>
      </c>
      <c r="XDM19" s="173">
        <v>0.61</v>
      </c>
      <c r="XDN19" s="173">
        <v>0.61</v>
      </c>
      <c r="XDO19" s="173">
        <v>0.61</v>
      </c>
      <c r="XDP19" s="173">
        <v>0.6</v>
      </c>
      <c r="XDQ19" s="174">
        <v>0.6</v>
      </c>
      <c r="XDR19" s="173">
        <v>0.6</v>
      </c>
      <c r="XDS19" s="174">
        <v>0.59</v>
      </c>
      <c r="XDT19" s="175">
        <v>0.59</v>
      </c>
      <c r="XDU19" s="175">
        <v>0.58</v>
      </c>
      <c r="XDV19" s="175">
        <v>0.57</v>
      </c>
      <c r="XDW19" s="175">
        <v>0.55</v>
      </c>
      <c r="XDX19" s="175">
        <v>0.53</v>
      </c>
      <c r="XDY19" s="157" t="s">
        <v>67</v>
      </c>
      <c r="XDZ19" s="157"/>
      <c r="XEA19" s="157"/>
      <c r="XEB19" s="173">
        <v>0.62</v>
      </c>
      <c r="XEC19" s="173">
        <v>0.61</v>
      </c>
      <c r="XED19" s="173">
        <v>0.61</v>
      </c>
      <c r="XEE19" s="173">
        <v>0.61</v>
      </c>
      <c r="XEF19" s="173">
        <v>0.6</v>
      </c>
      <c r="XEG19" s="174">
        <v>0.6</v>
      </c>
      <c r="XEH19" s="173">
        <v>0.6</v>
      </c>
      <c r="XEI19" s="174">
        <v>0.59</v>
      </c>
      <c r="XEJ19" s="175">
        <v>0.59</v>
      </c>
      <c r="XEK19" s="175">
        <v>0.58</v>
      </c>
      <c r="XEL19" s="175">
        <v>0.57</v>
      </c>
      <c r="XEM19" s="175">
        <v>0.55</v>
      </c>
      <c r="XEN19" s="175">
        <v>0.53</v>
      </c>
      <c r="XEO19" s="157" t="s">
        <v>67</v>
      </c>
      <c r="XEP19" s="157"/>
      <c r="XEQ19" s="157"/>
      <c r="XER19" s="173">
        <v>0.62</v>
      </c>
      <c r="XES19" s="173">
        <v>0.61</v>
      </c>
      <c r="XET19" s="173">
        <v>0.61</v>
      </c>
      <c r="XEU19" s="173">
        <v>0.61</v>
      </c>
      <c r="XEV19" s="173">
        <v>0.6</v>
      </c>
      <c r="XEW19" s="174">
        <v>0.6</v>
      </c>
      <c r="XEX19" s="173">
        <v>0.6</v>
      </c>
      <c r="XEY19" s="174">
        <v>0.59</v>
      </c>
      <c r="XEZ19" s="175">
        <v>0.59</v>
      </c>
      <c r="XFA19" s="175">
        <v>0.58</v>
      </c>
      <c r="XFB19" s="175">
        <v>0.57</v>
      </c>
      <c r="XFC19" s="175">
        <v>0.55</v>
      </c>
      <c r="XFD19" s="175">
        <v>0.53</v>
      </c>
    </row>
    <row r="20" ht="15" customHeight="1"/>
    <row r="21" ht="15" customHeight="1">
      <c r="Q21" s="142">
        <f>POWER(0.99,6)</f>
        <v>0.9414801494009999</v>
      </c>
    </row>
    <row r="22" spans="1:3" ht="30" customHeight="1">
      <c r="A22" s="150" t="s">
        <v>352</v>
      </c>
      <c r="B22" s="150"/>
      <c r="C22" s="150"/>
    </row>
    <row r="23" ht="15" customHeight="1"/>
    <row r="24" spans="1:16" ht="30" customHeight="1">
      <c r="A24" s="530" t="s">
        <v>69</v>
      </c>
      <c r="B24" s="331" t="s">
        <v>70</v>
      </c>
      <c r="C24" s="331" t="s">
        <v>366</v>
      </c>
      <c r="D24" s="331">
        <v>2013</v>
      </c>
      <c r="E24" s="331">
        <v>2014</v>
      </c>
      <c r="F24" s="331">
        <v>2015</v>
      </c>
      <c r="G24" s="331">
        <v>2016</v>
      </c>
      <c r="H24" s="331">
        <v>2017</v>
      </c>
      <c r="I24" s="331">
        <v>2018</v>
      </c>
      <c r="J24" s="331">
        <v>2019</v>
      </c>
      <c r="K24" s="331">
        <v>2020</v>
      </c>
      <c r="L24" s="331">
        <v>2021</v>
      </c>
      <c r="M24" s="331">
        <v>2022</v>
      </c>
      <c r="N24" s="331">
        <v>2023</v>
      </c>
      <c r="O24" s="331">
        <v>2024</v>
      </c>
      <c r="P24" s="332">
        <v>2025</v>
      </c>
    </row>
    <row r="25" spans="1:17" ht="15" customHeight="1">
      <c r="A25" s="348" t="s">
        <v>74</v>
      </c>
      <c r="B25" s="189">
        <v>-0.06</v>
      </c>
      <c r="C25" s="189">
        <v>-0.02</v>
      </c>
      <c r="D25" s="160">
        <f aca="true" t="shared" si="6" ref="D25:G37">E25/(1+$B25)</f>
        <v>125.52050021302625</v>
      </c>
      <c r="E25" s="160">
        <f>F25/(1+$B25)</f>
        <v>117.98927020024468</v>
      </c>
      <c r="F25" s="160">
        <f>G25/(1+$B25)</f>
        <v>110.90991398822999</v>
      </c>
      <c r="G25" s="160">
        <f>H25/(1+$B25)</f>
        <v>104.25531914893618</v>
      </c>
      <c r="H25" s="168">
        <v>98</v>
      </c>
      <c r="I25" s="168">
        <f>0.975*H25</f>
        <v>95.55</v>
      </c>
      <c r="J25" s="190">
        <f>0.975*I25</f>
        <v>93.16125</v>
      </c>
      <c r="K25" s="160">
        <f aca="true" t="shared" si="7" ref="K25:P41">J25*(1+$C25)</f>
        <v>91.298025</v>
      </c>
      <c r="L25" s="160">
        <f t="shared" si="7"/>
        <v>89.47206449999999</v>
      </c>
      <c r="M25" s="168">
        <f t="shared" si="7"/>
        <v>87.68262320999999</v>
      </c>
      <c r="N25" s="168">
        <f t="shared" si="7"/>
        <v>85.92897074579999</v>
      </c>
      <c r="O25" s="168">
        <f t="shared" si="7"/>
        <v>84.21039133088398</v>
      </c>
      <c r="P25" s="537">
        <f t="shared" si="7"/>
        <v>82.5261835042663</v>
      </c>
      <c r="Q25" s="142" t="s">
        <v>75</v>
      </c>
    </row>
    <row r="26" spans="1:17" ht="15" customHeight="1">
      <c r="A26" s="348" t="s">
        <v>76</v>
      </c>
      <c r="B26" s="189">
        <v>-0.02</v>
      </c>
      <c r="C26" s="189">
        <v>0</v>
      </c>
      <c r="D26" s="160">
        <f t="shared" si="6"/>
        <v>130.09989416807275</v>
      </c>
      <c r="E26" s="160">
        <f t="shared" si="6"/>
        <v>127.4978962847113</v>
      </c>
      <c r="F26" s="160">
        <f t="shared" si="6"/>
        <v>124.94793835901707</v>
      </c>
      <c r="G26" s="160">
        <f t="shared" si="6"/>
        <v>122.44897959183673</v>
      </c>
      <c r="H26" s="168">
        <v>120</v>
      </c>
      <c r="I26" s="168">
        <v>120</v>
      </c>
      <c r="J26" s="190">
        <v>120</v>
      </c>
      <c r="K26" s="160">
        <f t="shared" si="7"/>
        <v>120</v>
      </c>
      <c r="L26" s="160">
        <f t="shared" si="7"/>
        <v>120</v>
      </c>
      <c r="M26" s="168">
        <f t="shared" si="7"/>
        <v>120</v>
      </c>
      <c r="N26" s="168">
        <f t="shared" si="7"/>
        <v>120</v>
      </c>
      <c r="O26" s="168">
        <f t="shared" si="7"/>
        <v>120</v>
      </c>
      <c r="P26" s="537">
        <f t="shared" si="7"/>
        <v>120</v>
      </c>
      <c r="Q26" s="142" t="s">
        <v>77</v>
      </c>
    </row>
    <row r="27" spans="1:17" ht="15" customHeight="1">
      <c r="A27" s="348" t="s">
        <v>78</v>
      </c>
      <c r="B27" s="189">
        <v>-0.02</v>
      </c>
      <c r="C27" s="189">
        <v>0</v>
      </c>
      <c r="D27" s="160">
        <f t="shared" si="6"/>
        <v>175.63485712689825</v>
      </c>
      <c r="E27" s="160">
        <f t="shared" si="6"/>
        <v>172.12215998436028</v>
      </c>
      <c r="F27" s="160">
        <f t="shared" si="6"/>
        <v>168.67971678467308</v>
      </c>
      <c r="G27" s="160">
        <f t="shared" si="6"/>
        <v>165.3061224489796</v>
      </c>
      <c r="H27" s="168">
        <v>162</v>
      </c>
      <c r="I27" s="168">
        <v>162</v>
      </c>
      <c r="J27" s="190">
        <v>162</v>
      </c>
      <c r="K27" s="160">
        <f t="shared" si="7"/>
        <v>162</v>
      </c>
      <c r="L27" s="160">
        <f t="shared" si="7"/>
        <v>162</v>
      </c>
      <c r="M27" s="168">
        <f t="shared" si="7"/>
        <v>162</v>
      </c>
      <c r="N27" s="168">
        <f t="shared" si="7"/>
        <v>162</v>
      </c>
      <c r="O27" s="168">
        <f t="shared" si="7"/>
        <v>162</v>
      </c>
      <c r="P27" s="537">
        <f t="shared" si="7"/>
        <v>162</v>
      </c>
      <c r="Q27" s="142" t="s">
        <v>75</v>
      </c>
    </row>
    <row r="28" spans="1:17" ht="15" customHeight="1">
      <c r="A28" s="348" t="s">
        <v>79</v>
      </c>
      <c r="B28" s="189">
        <v>0</v>
      </c>
      <c r="C28" s="189">
        <v>0</v>
      </c>
      <c r="D28" s="160">
        <f t="shared" si="6"/>
        <v>94</v>
      </c>
      <c r="E28" s="160">
        <f t="shared" si="6"/>
        <v>94</v>
      </c>
      <c r="F28" s="160">
        <f t="shared" si="6"/>
        <v>94</v>
      </c>
      <c r="G28" s="160">
        <f t="shared" si="6"/>
        <v>94</v>
      </c>
      <c r="H28" s="168">
        <v>94</v>
      </c>
      <c r="I28" s="168">
        <v>94</v>
      </c>
      <c r="J28" s="190">
        <v>94</v>
      </c>
      <c r="K28" s="160">
        <f t="shared" si="7"/>
        <v>94</v>
      </c>
      <c r="L28" s="160">
        <f t="shared" si="7"/>
        <v>94</v>
      </c>
      <c r="M28" s="168">
        <f t="shared" si="7"/>
        <v>94</v>
      </c>
      <c r="N28" s="168">
        <f t="shared" si="7"/>
        <v>94</v>
      </c>
      <c r="O28" s="168">
        <f t="shared" si="7"/>
        <v>94</v>
      </c>
      <c r="P28" s="537">
        <f t="shared" si="7"/>
        <v>94</v>
      </c>
      <c r="Q28" s="142" t="s">
        <v>80</v>
      </c>
    </row>
    <row r="29" spans="1:17" ht="15" customHeight="1">
      <c r="A29" s="348" t="s">
        <v>81</v>
      </c>
      <c r="B29" s="189">
        <v>0.06</v>
      </c>
      <c r="C29" s="189">
        <v>0.02</v>
      </c>
      <c r="D29" s="160">
        <f t="shared" si="6"/>
        <v>158.4187326476041</v>
      </c>
      <c r="E29" s="160">
        <f t="shared" si="6"/>
        <v>167.92385660646033</v>
      </c>
      <c r="F29" s="168">
        <f t="shared" si="6"/>
        <v>177.99928800284798</v>
      </c>
      <c r="G29" s="168">
        <f t="shared" si="6"/>
        <v>188.67924528301887</v>
      </c>
      <c r="H29" s="168">
        <v>200</v>
      </c>
      <c r="I29" s="168">
        <f>1.055*H29</f>
        <v>211</v>
      </c>
      <c r="J29" s="190">
        <v>221</v>
      </c>
      <c r="K29" s="160">
        <f t="shared" si="7"/>
        <v>225.42000000000002</v>
      </c>
      <c r="L29" s="160">
        <f t="shared" si="7"/>
        <v>229.9284</v>
      </c>
      <c r="M29" s="168">
        <f t="shared" si="7"/>
        <v>234.526968</v>
      </c>
      <c r="N29" s="168">
        <f t="shared" si="7"/>
        <v>239.21750736</v>
      </c>
      <c r="O29" s="168">
        <f t="shared" si="7"/>
        <v>244.00185750720001</v>
      </c>
      <c r="P29" s="537">
        <f t="shared" si="7"/>
        <v>248.88189465734402</v>
      </c>
      <c r="Q29" s="142" t="s">
        <v>82</v>
      </c>
    </row>
    <row r="30" spans="1:17" ht="15" customHeight="1">
      <c r="A30" s="348" t="s">
        <v>30</v>
      </c>
      <c r="B30" s="189">
        <v>0.07</v>
      </c>
      <c r="C30" s="189">
        <v>0.035</v>
      </c>
      <c r="D30" s="160">
        <f t="shared" si="6"/>
        <v>1117.6414856496242</v>
      </c>
      <c r="E30" s="160">
        <f t="shared" si="6"/>
        <v>1195.876389645098</v>
      </c>
      <c r="F30" s="160">
        <f t="shared" si="6"/>
        <v>1279.5877369202549</v>
      </c>
      <c r="G30" s="160">
        <f t="shared" si="6"/>
        <v>1369.1588785046729</v>
      </c>
      <c r="H30" s="168">
        <v>1465</v>
      </c>
      <c r="I30" s="168">
        <v>1403</v>
      </c>
      <c r="J30" s="190">
        <v>1371</v>
      </c>
      <c r="K30" s="171">
        <v>1292</v>
      </c>
      <c r="L30" s="160">
        <f t="shared" si="7"/>
        <v>1337.2199999999998</v>
      </c>
      <c r="M30" s="168">
        <f t="shared" si="7"/>
        <v>1384.0226999999998</v>
      </c>
      <c r="N30" s="168">
        <f t="shared" si="7"/>
        <v>1432.4634944999996</v>
      </c>
      <c r="O30" s="168">
        <f t="shared" si="7"/>
        <v>1482.5997168074994</v>
      </c>
      <c r="P30" s="537">
        <f t="shared" si="7"/>
        <v>1534.4907068957618</v>
      </c>
      <c r="Q30" s="142" t="s">
        <v>353</v>
      </c>
    </row>
    <row r="31" spans="1:17" ht="15" customHeight="1">
      <c r="A31" s="348" t="s">
        <v>84</v>
      </c>
      <c r="B31" s="189">
        <v>-0.06</v>
      </c>
      <c r="C31" s="189">
        <v>-0.03</v>
      </c>
      <c r="D31" s="160">
        <f t="shared" si="6"/>
        <v>204.93142891922653</v>
      </c>
      <c r="E31" s="160">
        <f t="shared" si="6"/>
        <v>192.63554318407293</v>
      </c>
      <c r="F31" s="160">
        <f t="shared" si="6"/>
        <v>181.07741059302853</v>
      </c>
      <c r="G31" s="160">
        <f t="shared" si="6"/>
        <v>170.2127659574468</v>
      </c>
      <c r="H31" s="168">
        <v>160</v>
      </c>
      <c r="I31" s="168">
        <v>150</v>
      </c>
      <c r="J31" s="190">
        <v>145</v>
      </c>
      <c r="K31" s="160">
        <f t="shared" si="7"/>
        <v>140.65</v>
      </c>
      <c r="L31" s="160">
        <f t="shared" si="7"/>
        <v>136.4305</v>
      </c>
      <c r="M31" s="168">
        <f t="shared" si="7"/>
        <v>132.337585</v>
      </c>
      <c r="N31" s="168">
        <f t="shared" si="7"/>
        <v>128.36745745</v>
      </c>
      <c r="O31" s="168">
        <f t="shared" si="7"/>
        <v>124.51643372649998</v>
      </c>
      <c r="P31" s="537">
        <f t="shared" si="7"/>
        <v>120.78094071470498</v>
      </c>
      <c r="Q31" s="142" t="s">
        <v>85</v>
      </c>
    </row>
    <row r="32" spans="1:17" ht="15" customHeight="1">
      <c r="A32" s="348" t="s">
        <v>86</v>
      </c>
      <c r="B32" s="189">
        <v>-0.12</v>
      </c>
      <c r="C32" s="189">
        <v>-0.14</v>
      </c>
      <c r="D32" s="160">
        <f t="shared" si="6"/>
        <v>833.7566593811897</v>
      </c>
      <c r="E32" s="160">
        <f t="shared" si="6"/>
        <v>733.705860255447</v>
      </c>
      <c r="F32" s="160">
        <f t="shared" si="6"/>
        <v>645.6611570247933</v>
      </c>
      <c r="G32" s="160">
        <f t="shared" si="6"/>
        <v>568.1818181818181</v>
      </c>
      <c r="H32" s="168">
        <v>500</v>
      </c>
      <c r="I32" s="168">
        <f>1890-I30</f>
        <v>487</v>
      </c>
      <c r="J32" s="190">
        <f>1790-J30</f>
        <v>419</v>
      </c>
      <c r="K32" s="160">
        <f t="shared" si="7"/>
        <v>360.34</v>
      </c>
      <c r="L32" s="160">
        <f t="shared" si="7"/>
        <v>309.89239999999995</v>
      </c>
      <c r="M32" s="168">
        <f t="shared" si="7"/>
        <v>266.50746399999997</v>
      </c>
      <c r="N32" s="168">
        <f t="shared" si="7"/>
        <v>229.19641903999997</v>
      </c>
      <c r="O32" s="168">
        <f t="shared" si="7"/>
        <v>197.10892037439996</v>
      </c>
      <c r="P32" s="537">
        <f t="shared" si="7"/>
        <v>169.51367152198395</v>
      </c>
      <c r="Q32" s="142" t="s">
        <v>87</v>
      </c>
    </row>
    <row r="33" spans="1:17" ht="15" customHeight="1">
      <c r="A33" s="348" t="s">
        <v>88</v>
      </c>
      <c r="B33" s="189">
        <v>0.23</v>
      </c>
      <c r="C33" s="538">
        <v>0.3</v>
      </c>
      <c r="D33" s="160">
        <f t="shared" si="6"/>
        <v>458.74236932857957</v>
      </c>
      <c r="E33" s="160">
        <f t="shared" si="6"/>
        <v>564.2531142741528</v>
      </c>
      <c r="F33" s="168">
        <f t="shared" si="6"/>
        <v>694.031330557208</v>
      </c>
      <c r="G33" s="168">
        <f t="shared" si="6"/>
        <v>853.6585365853658</v>
      </c>
      <c r="H33" s="168">
        <v>1050</v>
      </c>
      <c r="I33" s="168">
        <v>1200</v>
      </c>
      <c r="J33" s="190">
        <v>1400</v>
      </c>
      <c r="K33" s="168">
        <f t="shared" si="7"/>
        <v>1820</v>
      </c>
      <c r="L33" s="160">
        <f t="shared" si="7"/>
        <v>2366</v>
      </c>
      <c r="M33" s="168">
        <f t="shared" si="7"/>
        <v>3075.8</v>
      </c>
      <c r="N33" s="168">
        <f t="shared" si="7"/>
        <v>3998.5400000000004</v>
      </c>
      <c r="O33" s="168">
        <f t="shared" si="7"/>
        <v>5198.102000000001</v>
      </c>
      <c r="P33" s="537">
        <f t="shared" si="7"/>
        <v>6757.532600000001</v>
      </c>
      <c r="Q33" s="142" t="s">
        <v>89</v>
      </c>
    </row>
    <row r="34" spans="1:17" ht="15" customHeight="1">
      <c r="A34" s="348" t="s">
        <v>90</v>
      </c>
      <c r="B34" s="189">
        <v>0</v>
      </c>
      <c r="C34" s="189">
        <v>0</v>
      </c>
      <c r="D34" s="160">
        <f t="shared" si="6"/>
        <v>220</v>
      </c>
      <c r="E34" s="160">
        <f t="shared" si="6"/>
        <v>220</v>
      </c>
      <c r="F34" s="160">
        <f t="shared" si="6"/>
        <v>220</v>
      </c>
      <c r="G34" s="193">
        <f t="shared" si="6"/>
        <v>220</v>
      </c>
      <c r="H34" s="194">
        <v>220</v>
      </c>
      <c r="I34" s="194">
        <v>225</v>
      </c>
      <c r="J34" s="190">
        <v>230</v>
      </c>
      <c r="K34" s="160">
        <f t="shared" si="7"/>
        <v>230</v>
      </c>
      <c r="L34" s="160">
        <f t="shared" si="7"/>
        <v>230</v>
      </c>
      <c r="M34" s="168">
        <f t="shared" si="7"/>
        <v>230</v>
      </c>
      <c r="N34" s="168">
        <f t="shared" si="7"/>
        <v>230</v>
      </c>
      <c r="O34" s="168">
        <f t="shared" si="7"/>
        <v>230</v>
      </c>
      <c r="P34" s="537">
        <f t="shared" si="7"/>
        <v>230</v>
      </c>
      <c r="Q34" s="142" t="s">
        <v>91</v>
      </c>
    </row>
    <row r="35" spans="1:17" ht="15" customHeight="1">
      <c r="A35" s="348" t="s">
        <v>92</v>
      </c>
      <c r="B35" s="189">
        <v>0.12</v>
      </c>
      <c r="C35" s="189">
        <v>0.04</v>
      </c>
      <c r="D35" s="160">
        <f t="shared" si="6"/>
        <v>121.38395297532274</v>
      </c>
      <c r="E35" s="160">
        <f t="shared" si="6"/>
        <v>135.9500273323615</v>
      </c>
      <c r="F35" s="160">
        <f t="shared" si="6"/>
        <v>152.26403061224488</v>
      </c>
      <c r="G35" s="160">
        <f t="shared" si="6"/>
        <v>170.53571428571428</v>
      </c>
      <c r="H35" s="168">
        <v>191</v>
      </c>
      <c r="I35" s="168">
        <f>J35/1.12</f>
        <v>214.28571428571428</v>
      </c>
      <c r="J35" s="190">
        <v>240</v>
      </c>
      <c r="K35" s="160">
        <f t="shared" si="7"/>
        <v>249.60000000000002</v>
      </c>
      <c r="L35" s="160">
        <f t="shared" si="7"/>
        <v>259.58400000000006</v>
      </c>
      <c r="M35" s="168">
        <f t="shared" si="7"/>
        <v>269.9673600000001</v>
      </c>
      <c r="N35" s="168">
        <f t="shared" si="7"/>
        <v>280.7660544000001</v>
      </c>
      <c r="O35" s="168">
        <f t="shared" si="7"/>
        <v>291.9966965760001</v>
      </c>
      <c r="P35" s="537">
        <f t="shared" si="7"/>
        <v>303.6765644390401</v>
      </c>
      <c r="Q35" s="142" t="s">
        <v>93</v>
      </c>
    </row>
    <row r="36" spans="1:17" ht="15" customHeight="1">
      <c r="A36" s="348" t="s">
        <v>94</v>
      </c>
      <c r="B36" s="189">
        <v>0.01</v>
      </c>
      <c r="C36" s="189">
        <v>0.05</v>
      </c>
      <c r="D36" s="160">
        <f t="shared" si="6"/>
        <v>37.08182904273067</v>
      </c>
      <c r="E36" s="160">
        <f t="shared" si="6"/>
        <v>37.45264733315798</v>
      </c>
      <c r="F36" s="160">
        <f t="shared" si="6"/>
        <v>37.827173806489554</v>
      </c>
      <c r="G36" s="160">
        <f t="shared" si="6"/>
        <v>38.20544554455445</v>
      </c>
      <c r="H36" s="168">
        <v>38.5875</v>
      </c>
      <c r="I36" s="168">
        <v>42</v>
      </c>
      <c r="J36" s="190">
        <v>37</v>
      </c>
      <c r="K36" s="160">
        <f t="shared" si="7"/>
        <v>38.85</v>
      </c>
      <c r="L36" s="160">
        <f t="shared" si="7"/>
        <v>40.792500000000004</v>
      </c>
      <c r="M36" s="168">
        <f t="shared" si="7"/>
        <v>42.832125000000005</v>
      </c>
      <c r="N36" s="168">
        <f t="shared" si="7"/>
        <v>44.97373125000001</v>
      </c>
      <c r="O36" s="168">
        <f t="shared" si="7"/>
        <v>47.22241781250001</v>
      </c>
      <c r="P36" s="537">
        <f t="shared" si="7"/>
        <v>49.583538703125015</v>
      </c>
      <c r="Q36" s="142" t="s">
        <v>95</v>
      </c>
    </row>
    <row r="37" spans="1:17" ht="15" customHeight="1">
      <c r="A37" s="348" t="s">
        <v>96</v>
      </c>
      <c r="B37" s="189">
        <v>0</v>
      </c>
      <c r="C37" s="189">
        <v>0</v>
      </c>
      <c r="D37" s="160">
        <f t="shared" si="6"/>
        <v>70</v>
      </c>
      <c r="E37" s="160">
        <f t="shared" si="6"/>
        <v>70</v>
      </c>
      <c r="F37" s="160">
        <f t="shared" si="6"/>
        <v>70</v>
      </c>
      <c r="G37" s="160">
        <f t="shared" si="6"/>
        <v>70</v>
      </c>
      <c r="H37" s="168">
        <v>70</v>
      </c>
      <c r="I37" s="168">
        <v>70</v>
      </c>
      <c r="J37" s="190">
        <v>70</v>
      </c>
      <c r="K37" s="160">
        <f t="shared" si="7"/>
        <v>70</v>
      </c>
      <c r="L37" s="160">
        <f t="shared" si="7"/>
        <v>70</v>
      </c>
      <c r="M37" s="168">
        <f t="shared" si="7"/>
        <v>70</v>
      </c>
      <c r="N37" s="168">
        <f t="shared" si="7"/>
        <v>70</v>
      </c>
      <c r="O37" s="168">
        <f t="shared" si="7"/>
        <v>70</v>
      </c>
      <c r="P37" s="537">
        <f t="shared" si="7"/>
        <v>70</v>
      </c>
      <c r="Q37" s="142" t="s">
        <v>97</v>
      </c>
    </row>
    <row r="38" spans="1:17" ht="15" customHeight="1">
      <c r="A38" s="157" t="s">
        <v>5</v>
      </c>
      <c r="B38" s="189" t="s">
        <v>98</v>
      </c>
      <c r="C38" s="538">
        <v>0.7</v>
      </c>
      <c r="D38" s="160">
        <v>0</v>
      </c>
      <c r="E38" s="160">
        <v>0</v>
      </c>
      <c r="F38" s="160">
        <v>0</v>
      </c>
      <c r="G38" s="160">
        <v>0</v>
      </c>
      <c r="H38" s="168">
        <v>2</v>
      </c>
      <c r="I38" s="168">
        <v>4</v>
      </c>
      <c r="J38" s="190">
        <v>6</v>
      </c>
      <c r="K38" s="160">
        <f t="shared" si="7"/>
        <v>10.2</v>
      </c>
      <c r="L38" s="168">
        <f t="shared" si="7"/>
        <v>17.34</v>
      </c>
      <c r="M38" s="168">
        <f t="shared" si="7"/>
        <v>29.477999999999998</v>
      </c>
      <c r="N38" s="168">
        <f t="shared" si="7"/>
        <v>50.11259999999999</v>
      </c>
      <c r="O38" s="168">
        <f t="shared" si="7"/>
        <v>85.19141999999998</v>
      </c>
      <c r="P38" s="168">
        <f t="shared" si="7"/>
        <v>144.82541399999997</v>
      </c>
      <c r="Q38" s="142" t="s">
        <v>99</v>
      </c>
    </row>
    <row r="39" spans="1:17" ht="15" customHeight="1">
      <c r="A39" s="157" t="s">
        <v>33</v>
      </c>
      <c r="B39" s="189" t="s">
        <v>98</v>
      </c>
      <c r="C39" s="538">
        <v>0.25</v>
      </c>
      <c r="D39" s="160">
        <v>0</v>
      </c>
      <c r="E39" s="160">
        <v>0</v>
      </c>
      <c r="F39" s="160">
        <v>0</v>
      </c>
      <c r="G39" s="160">
        <v>0</v>
      </c>
      <c r="H39" s="168">
        <v>80</v>
      </c>
      <c r="I39" s="168">
        <v>125</v>
      </c>
      <c r="J39" s="190">
        <v>140</v>
      </c>
      <c r="K39" s="160">
        <f t="shared" si="7"/>
        <v>175</v>
      </c>
      <c r="L39" s="168">
        <f t="shared" si="7"/>
        <v>218.75</v>
      </c>
      <c r="M39" s="168">
        <f t="shared" si="7"/>
        <v>273.4375</v>
      </c>
      <c r="N39" s="168">
        <f t="shared" si="7"/>
        <v>341.796875</v>
      </c>
      <c r="O39" s="168">
        <f t="shared" si="7"/>
        <v>427.24609375</v>
      </c>
      <c r="P39" s="168">
        <f t="shared" si="7"/>
        <v>534.0576171875</v>
      </c>
      <c r="Q39" s="142" t="s">
        <v>100</v>
      </c>
    </row>
    <row r="40" spans="1:17" ht="15" customHeight="1">
      <c r="A40" s="157" t="s">
        <v>101</v>
      </c>
      <c r="B40" s="189" t="s">
        <v>98</v>
      </c>
      <c r="C40" s="538">
        <v>0.15</v>
      </c>
      <c r="D40" s="160">
        <v>0</v>
      </c>
      <c r="E40" s="160">
        <v>2.5</v>
      </c>
      <c r="F40" s="160">
        <v>2.7</v>
      </c>
      <c r="G40" s="160">
        <v>3</v>
      </c>
      <c r="H40" s="168">
        <v>3.2</v>
      </c>
      <c r="I40" s="168">
        <v>3.5</v>
      </c>
      <c r="J40" s="190">
        <v>3.8</v>
      </c>
      <c r="K40" s="160">
        <f t="shared" si="7"/>
        <v>4.369999999999999</v>
      </c>
      <c r="L40" s="168">
        <f t="shared" si="7"/>
        <v>5.025499999999998</v>
      </c>
      <c r="M40" s="168">
        <f t="shared" si="7"/>
        <v>5.779324999999997</v>
      </c>
      <c r="N40" s="168">
        <f t="shared" si="7"/>
        <v>6.646223749999996</v>
      </c>
      <c r="O40" s="168">
        <f t="shared" si="7"/>
        <v>7.643157312499995</v>
      </c>
      <c r="P40" s="168">
        <f t="shared" si="7"/>
        <v>8.789630909374994</v>
      </c>
      <c r="Q40" s="142" t="s">
        <v>102</v>
      </c>
    </row>
    <row r="41" spans="1:17" ht="15" customHeight="1">
      <c r="A41" s="157" t="s">
        <v>16</v>
      </c>
      <c r="B41" s="189" t="s">
        <v>98</v>
      </c>
      <c r="C41" s="538">
        <v>0.35</v>
      </c>
      <c r="D41" s="160">
        <v>0</v>
      </c>
      <c r="E41" s="160">
        <v>1</v>
      </c>
      <c r="F41" s="160">
        <v>3</v>
      </c>
      <c r="G41" s="160">
        <v>5</v>
      </c>
      <c r="H41" s="168">
        <v>10</v>
      </c>
      <c r="I41" s="168">
        <v>16</v>
      </c>
      <c r="J41" s="190">
        <v>25</v>
      </c>
      <c r="K41" s="160">
        <f t="shared" si="7"/>
        <v>33.75</v>
      </c>
      <c r="L41" s="168">
        <f t="shared" si="7"/>
        <v>45.5625</v>
      </c>
      <c r="M41" s="168">
        <f t="shared" si="7"/>
        <v>61.509375000000006</v>
      </c>
      <c r="N41" s="168">
        <f t="shared" si="7"/>
        <v>83.03765625000001</v>
      </c>
      <c r="O41" s="168">
        <f t="shared" si="7"/>
        <v>112.10083593750002</v>
      </c>
      <c r="P41" s="168">
        <f t="shared" si="7"/>
        <v>151.33612851562503</v>
      </c>
      <c r="Q41" s="142" t="s">
        <v>103</v>
      </c>
    </row>
    <row r="42" spans="1:17" ht="15" customHeight="1">
      <c r="A42" s="157" t="s">
        <v>104</v>
      </c>
      <c r="B42" s="189"/>
      <c r="C42" s="189"/>
      <c r="D42" s="160">
        <f>SUM(D25:D41)</f>
        <v>3747.2117094522746</v>
      </c>
      <c r="E42" s="160">
        <f aca="true" t="shared" si="8" ref="E42:P42">SUM(E25:E41)</f>
        <v>3832.906765100067</v>
      </c>
      <c r="F42" s="160">
        <f t="shared" si="8"/>
        <v>3962.685696648787</v>
      </c>
      <c r="G42" s="160">
        <f t="shared" si="8"/>
        <v>4142.6428255323435</v>
      </c>
      <c r="H42" s="168">
        <f t="shared" si="8"/>
        <v>4463.787499999999</v>
      </c>
      <c r="I42" s="168">
        <f t="shared" si="8"/>
        <v>4622.335714285715</v>
      </c>
      <c r="J42" s="190">
        <f t="shared" si="8"/>
        <v>4776.96125</v>
      </c>
      <c r="K42" s="160">
        <f t="shared" si="8"/>
        <v>5117.478025</v>
      </c>
      <c r="L42" s="168">
        <f t="shared" si="8"/>
        <v>5731.997864499999</v>
      </c>
      <c r="M42" s="168">
        <f t="shared" si="8"/>
        <v>6539.88102521</v>
      </c>
      <c r="N42" s="168">
        <f t="shared" si="8"/>
        <v>7597.046989745801</v>
      </c>
      <c r="O42" s="168">
        <f t="shared" si="8"/>
        <v>8977.93994113498</v>
      </c>
      <c r="P42" s="168">
        <f t="shared" si="8"/>
        <v>10781.99489104873</v>
      </c>
      <c r="Q42" s="142"/>
    </row>
    <row r="43" spans="1:18" ht="15" customHeight="1">
      <c r="A43" s="207"/>
      <c r="B43" s="207"/>
      <c r="C43" s="207"/>
      <c r="D43" s="142"/>
      <c r="E43" s="142"/>
      <c r="F43" s="142"/>
      <c r="G43" s="142"/>
      <c r="H43" s="142"/>
      <c r="I43" s="142"/>
      <c r="J43" s="142"/>
      <c r="K43" s="208"/>
      <c r="L43" s="208"/>
      <c r="M43" s="208"/>
      <c r="N43" s="208"/>
      <c r="O43" s="208"/>
      <c r="P43" s="208"/>
      <c r="Q43" s="142">
        <f>350/140</f>
        <v>2.5</v>
      </c>
      <c r="R43" s="142">
        <f>POWER(1.2,5)</f>
        <v>2.48832</v>
      </c>
    </row>
    <row r="44" spans="1:16" ht="15" customHeight="1">
      <c r="A44" s="207"/>
      <c r="B44" s="207"/>
      <c r="C44" s="207"/>
      <c r="D44" s="142"/>
      <c r="E44" s="142"/>
      <c r="F44" s="142"/>
      <c r="G44" s="142"/>
      <c r="H44" s="142"/>
      <c r="I44" s="142"/>
      <c r="J44" s="142"/>
      <c r="K44" s="208"/>
      <c r="L44" s="208"/>
      <c r="M44" s="208"/>
      <c r="N44" s="208"/>
      <c r="O44" s="208"/>
      <c r="P44" s="208"/>
    </row>
    <row r="45" spans="1:16" ht="15" customHeight="1">
      <c r="A45" s="530" t="s">
        <v>105</v>
      </c>
      <c r="B45" s="331" t="s">
        <v>354</v>
      </c>
      <c r="C45" s="331" t="s">
        <v>366</v>
      </c>
      <c r="D45" s="331">
        <v>2013</v>
      </c>
      <c r="E45" s="331">
        <v>2014</v>
      </c>
      <c r="F45" s="331">
        <v>2015</v>
      </c>
      <c r="G45" s="331">
        <v>2016</v>
      </c>
      <c r="H45" s="331">
        <v>2017</v>
      </c>
      <c r="I45" s="331">
        <v>2018</v>
      </c>
      <c r="J45" s="331">
        <v>2019</v>
      </c>
      <c r="K45" s="331">
        <v>2020</v>
      </c>
      <c r="L45" s="331">
        <v>2021</v>
      </c>
      <c r="M45" s="331">
        <v>2022</v>
      </c>
      <c r="N45" s="331">
        <v>2023</v>
      </c>
      <c r="O45" s="331">
        <v>2024</v>
      </c>
      <c r="P45" s="332">
        <v>2025</v>
      </c>
    </row>
    <row r="46" spans="1:17" ht="15" customHeight="1">
      <c r="A46" s="348" t="s">
        <v>74</v>
      </c>
      <c r="B46" s="539">
        <v>0</v>
      </c>
      <c r="C46" s="539">
        <v>-0.01</v>
      </c>
      <c r="D46" s="160">
        <f aca="true" t="shared" si="9" ref="D46:I101">E46/(1+$B46)</f>
        <v>450</v>
      </c>
      <c r="E46" s="160">
        <f t="shared" si="9"/>
        <v>450</v>
      </c>
      <c r="F46" s="160">
        <f t="shared" si="9"/>
        <v>450</v>
      </c>
      <c r="G46" s="160">
        <f t="shared" si="9"/>
        <v>450</v>
      </c>
      <c r="H46" s="160">
        <f t="shared" si="9"/>
        <v>450</v>
      </c>
      <c r="I46" s="160">
        <f>J46/(1+$B46)</f>
        <v>450</v>
      </c>
      <c r="J46" s="190">
        <v>450</v>
      </c>
      <c r="K46" s="160">
        <f aca="true" t="shared" si="10" ref="K46:P100">J46*(1+$C46)</f>
        <v>445.5</v>
      </c>
      <c r="L46" s="160">
        <f t="shared" si="10"/>
        <v>441.045</v>
      </c>
      <c r="M46" s="160">
        <f t="shared" si="10"/>
        <v>436.63455</v>
      </c>
      <c r="N46" s="160">
        <f t="shared" si="10"/>
        <v>432.26820449999997</v>
      </c>
      <c r="O46" s="160">
        <f t="shared" si="10"/>
        <v>427.94552245499995</v>
      </c>
      <c r="P46" s="160">
        <f t="shared" si="10"/>
        <v>423.6660672304499</v>
      </c>
      <c r="Q46" s="142" t="s">
        <v>106</v>
      </c>
    </row>
    <row r="47" spans="1:17" ht="15" customHeight="1">
      <c r="A47" s="348" t="s">
        <v>76</v>
      </c>
      <c r="B47" s="539">
        <v>0.04</v>
      </c>
      <c r="C47" s="539">
        <v>0.04</v>
      </c>
      <c r="D47" s="160">
        <f t="shared" si="9"/>
        <v>331.9321008066612</v>
      </c>
      <c r="E47" s="160">
        <f t="shared" si="9"/>
        <v>345.20938483892763</v>
      </c>
      <c r="F47" s="160">
        <f t="shared" si="9"/>
        <v>359.01776023248476</v>
      </c>
      <c r="G47" s="160">
        <f t="shared" si="9"/>
        <v>373.3784706417842</v>
      </c>
      <c r="H47" s="160">
        <f t="shared" si="9"/>
        <v>388.3136094674556</v>
      </c>
      <c r="I47" s="160">
        <f t="shared" si="9"/>
        <v>403.8461538461538</v>
      </c>
      <c r="J47" s="190">
        <v>420</v>
      </c>
      <c r="K47" s="160">
        <f t="shared" si="10"/>
        <v>436.8</v>
      </c>
      <c r="L47" s="160">
        <f t="shared" si="10"/>
        <v>454.27200000000005</v>
      </c>
      <c r="M47" s="160">
        <f t="shared" si="10"/>
        <v>472.44288000000006</v>
      </c>
      <c r="N47" s="160">
        <f t="shared" si="10"/>
        <v>491.34059520000005</v>
      </c>
      <c r="O47" s="160">
        <f t="shared" si="10"/>
        <v>510.9942190080001</v>
      </c>
      <c r="P47" s="531">
        <f t="shared" si="10"/>
        <v>531.4339877683201</v>
      </c>
      <c r="Q47" s="142" t="s">
        <v>106</v>
      </c>
    </row>
    <row r="48" spans="1:20" ht="15" customHeight="1">
      <c r="A48" s="348" t="s">
        <v>78</v>
      </c>
      <c r="B48" s="539">
        <v>0</v>
      </c>
      <c r="C48" s="539">
        <v>-0.01</v>
      </c>
      <c r="D48" s="160">
        <f t="shared" si="9"/>
        <v>400</v>
      </c>
      <c r="E48" s="160">
        <f t="shared" si="9"/>
        <v>400</v>
      </c>
      <c r="F48" s="160">
        <f t="shared" si="9"/>
        <v>400</v>
      </c>
      <c r="G48" s="160">
        <f t="shared" si="9"/>
        <v>400</v>
      </c>
      <c r="H48" s="160">
        <f t="shared" si="9"/>
        <v>400</v>
      </c>
      <c r="I48" s="160">
        <f t="shared" si="9"/>
        <v>400</v>
      </c>
      <c r="J48" s="190">
        <v>400</v>
      </c>
      <c r="K48" s="160">
        <f t="shared" si="10"/>
        <v>396</v>
      </c>
      <c r="L48" s="160">
        <f t="shared" si="10"/>
        <v>392.04</v>
      </c>
      <c r="M48" s="160">
        <f t="shared" si="10"/>
        <v>388.1196</v>
      </c>
      <c r="N48" s="160">
        <f t="shared" si="10"/>
        <v>384.238404</v>
      </c>
      <c r="O48" s="160">
        <f t="shared" si="10"/>
        <v>380.39601996</v>
      </c>
      <c r="P48" s="531">
        <f t="shared" si="10"/>
        <v>376.5920597604</v>
      </c>
      <c r="Q48" s="211" t="s">
        <v>107</v>
      </c>
      <c r="R48" s="142"/>
      <c r="S48" s="142"/>
      <c r="T48" s="142"/>
    </row>
    <row r="49" spans="1:17" ht="15" customHeight="1">
      <c r="A49" s="348" t="s">
        <v>79</v>
      </c>
      <c r="B49" s="539">
        <v>0.02</v>
      </c>
      <c r="C49" s="539">
        <v>0.01</v>
      </c>
      <c r="D49" s="160">
        <f t="shared" si="9"/>
        <v>221.992845546548</v>
      </c>
      <c r="E49" s="160">
        <f t="shared" si="9"/>
        <v>226.43270245747897</v>
      </c>
      <c r="F49" s="160">
        <f t="shared" si="9"/>
        <v>230.96135650662856</v>
      </c>
      <c r="G49" s="160">
        <f t="shared" si="9"/>
        <v>235.58058363676113</v>
      </c>
      <c r="H49" s="160">
        <f t="shared" si="9"/>
        <v>240.29219530949635</v>
      </c>
      <c r="I49" s="160">
        <f t="shared" si="9"/>
        <v>245.09803921568627</v>
      </c>
      <c r="J49" s="171">
        <v>250</v>
      </c>
      <c r="K49" s="160">
        <f t="shared" si="10"/>
        <v>252.5</v>
      </c>
      <c r="L49" s="160">
        <f t="shared" si="10"/>
        <v>255.025</v>
      </c>
      <c r="M49" s="160">
        <f t="shared" si="10"/>
        <v>257.57525</v>
      </c>
      <c r="N49" s="160">
        <f t="shared" si="10"/>
        <v>260.1510025</v>
      </c>
      <c r="O49" s="160">
        <f t="shared" si="10"/>
        <v>262.752512525</v>
      </c>
      <c r="P49" s="531">
        <f t="shared" si="10"/>
        <v>265.38003765024996</v>
      </c>
      <c r="Q49" s="142" t="s">
        <v>108</v>
      </c>
    </row>
    <row r="50" spans="1:17" ht="15" customHeight="1">
      <c r="A50" s="348" t="s">
        <v>81</v>
      </c>
      <c r="B50" s="539">
        <v>-0.01</v>
      </c>
      <c r="C50" s="539">
        <v>-0.02</v>
      </c>
      <c r="D50" s="160">
        <f t="shared" si="9"/>
        <v>106.21572856700507</v>
      </c>
      <c r="E50" s="160">
        <f t="shared" si="9"/>
        <v>105.15357128133502</v>
      </c>
      <c r="F50" s="160">
        <f t="shared" si="9"/>
        <v>104.10203556852167</v>
      </c>
      <c r="G50" s="160">
        <f t="shared" si="9"/>
        <v>103.06101521283645</v>
      </c>
      <c r="H50" s="160">
        <f t="shared" si="9"/>
        <v>102.03040506070809</v>
      </c>
      <c r="I50" s="168">
        <f t="shared" si="9"/>
        <v>101.01010101010101</v>
      </c>
      <c r="J50" s="171">
        <v>100</v>
      </c>
      <c r="K50" s="160">
        <f t="shared" si="10"/>
        <v>98</v>
      </c>
      <c r="L50" s="160">
        <f t="shared" si="10"/>
        <v>96.03999999999999</v>
      </c>
      <c r="M50" s="160">
        <f t="shared" si="10"/>
        <v>94.11919999999999</v>
      </c>
      <c r="N50" s="160">
        <f t="shared" si="10"/>
        <v>92.23681599999999</v>
      </c>
      <c r="O50" s="160">
        <f t="shared" si="10"/>
        <v>90.39207968</v>
      </c>
      <c r="P50" s="531">
        <f t="shared" si="10"/>
        <v>88.58423808639999</v>
      </c>
      <c r="Q50" s="142" t="s">
        <v>109</v>
      </c>
    </row>
    <row r="51" spans="1:17" ht="15" customHeight="1">
      <c r="A51" s="348" t="s">
        <v>30</v>
      </c>
      <c r="B51" s="539">
        <v>0.1</v>
      </c>
      <c r="C51" s="539">
        <v>0.05</v>
      </c>
      <c r="D51" s="160">
        <f t="shared" si="9"/>
        <v>47.980284054571065</v>
      </c>
      <c r="E51" s="160">
        <f t="shared" si="9"/>
        <v>52.778312460028175</v>
      </c>
      <c r="F51" s="160">
        <f t="shared" si="9"/>
        <v>58.056143706030994</v>
      </c>
      <c r="G51" s="160">
        <f t="shared" si="9"/>
        <v>63.861758076634096</v>
      </c>
      <c r="H51" s="160">
        <f t="shared" si="9"/>
        <v>70.24793388429751</v>
      </c>
      <c r="I51" s="160">
        <f t="shared" si="9"/>
        <v>77.27272727272727</v>
      </c>
      <c r="J51" s="190">
        <v>85</v>
      </c>
      <c r="K51" s="160">
        <f t="shared" si="10"/>
        <v>89.25</v>
      </c>
      <c r="L51" s="160">
        <f t="shared" si="10"/>
        <v>93.7125</v>
      </c>
      <c r="M51" s="160">
        <f t="shared" si="10"/>
        <v>98.39812500000001</v>
      </c>
      <c r="N51" s="160">
        <f t="shared" si="10"/>
        <v>103.31803125000002</v>
      </c>
      <c r="O51" s="160">
        <f t="shared" si="10"/>
        <v>108.48393281250003</v>
      </c>
      <c r="P51" s="531">
        <f t="shared" si="10"/>
        <v>113.90812945312504</v>
      </c>
      <c r="Q51" s="142" t="s">
        <v>110</v>
      </c>
    </row>
    <row r="52" spans="1:17" ht="15" customHeight="1">
      <c r="A52" s="348" t="s">
        <v>84</v>
      </c>
      <c r="B52" s="539">
        <v>0.1</v>
      </c>
      <c r="C52" s="539">
        <v>0.05</v>
      </c>
      <c r="D52" s="160">
        <f t="shared" si="9"/>
        <v>112.89478601075544</v>
      </c>
      <c r="E52" s="160">
        <f t="shared" si="9"/>
        <v>124.184264611831</v>
      </c>
      <c r="F52" s="160">
        <f t="shared" si="9"/>
        <v>136.6026910730141</v>
      </c>
      <c r="G52" s="160">
        <f t="shared" si="9"/>
        <v>150.26296018031553</v>
      </c>
      <c r="H52" s="160">
        <f t="shared" si="9"/>
        <v>165.2892561983471</v>
      </c>
      <c r="I52" s="160">
        <f t="shared" si="9"/>
        <v>181.8181818181818</v>
      </c>
      <c r="J52" s="190">
        <v>200</v>
      </c>
      <c r="K52" s="160">
        <f t="shared" si="10"/>
        <v>210</v>
      </c>
      <c r="L52" s="160">
        <f t="shared" si="10"/>
        <v>220.5</v>
      </c>
      <c r="M52" s="160">
        <f t="shared" si="10"/>
        <v>231.525</v>
      </c>
      <c r="N52" s="160">
        <f t="shared" si="10"/>
        <v>243.10125000000002</v>
      </c>
      <c r="O52" s="160">
        <f t="shared" si="10"/>
        <v>255.25631250000004</v>
      </c>
      <c r="P52" s="531">
        <f t="shared" si="10"/>
        <v>268.01912812500007</v>
      </c>
      <c r="Q52" s="142" t="s">
        <v>110</v>
      </c>
    </row>
    <row r="53" spans="1:17" ht="15" customHeight="1">
      <c r="A53" s="348" t="s">
        <v>86</v>
      </c>
      <c r="B53" s="539">
        <v>0</v>
      </c>
      <c r="C53" s="539">
        <v>0</v>
      </c>
      <c r="D53" s="160">
        <f t="shared" si="9"/>
        <v>20</v>
      </c>
      <c r="E53" s="160">
        <f t="shared" si="9"/>
        <v>20</v>
      </c>
      <c r="F53" s="160">
        <f t="shared" si="9"/>
        <v>20</v>
      </c>
      <c r="G53" s="160">
        <f t="shared" si="9"/>
        <v>20</v>
      </c>
      <c r="H53" s="160">
        <f t="shared" si="9"/>
        <v>20</v>
      </c>
      <c r="I53" s="160">
        <f t="shared" si="9"/>
        <v>20</v>
      </c>
      <c r="J53" s="171">
        <v>20</v>
      </c>
      <c r="K53" s="160">
        <f t="shared" si="10"/>
        <v>20</v>
      </c>
      <c r="L53" s="160">
        <f t="shared" si="10"/>
        <v>20</v>
      </c>
      <c r="M53" s="160">
        <f t="shared" si="10"/>
        <v>20</v>
      </c>
      <c r="N53" s="160">
        <f t="shared" si="10"/>
        <v>20</v>
      </c>
      <c r="O53" s="160">
        <f t="shared" si="10"/>
        <v>20</v>
      </c>
      <c r="P53" s="531">
        <f t="shared" si="10"/>
        <v>20</v>
      </c>
      <c r="Q53" s="142" t="s">
        <v>111</v>
      </c>
    </row>
    <row r="54" spans="1:17" ht="15" customHeight="1">
      <c r="A54" s="540" t="s">
        <v>88</v>
      </c>
      <c r="B54" s="541">
        <v>0.05</v>
      </c>
      <c r="C54" s="541">
        <v>0.05</v>
      </c>
      <c r="D54" s="160">
        <f t="shared" si="9"/>
        <v>1.1193230949549413</v>
      </c>
      <c r="E54" s="160">
        <f t="shared" si="9"/>
        <v>1.1752892497026883</v>
      </c>
      <c r="F54" s="160">
        <f t="shared" si="9"/>
        <v>1.2340537121878228</v>
      </c>
      <c r="G54" s="160">
        <f t="shared" si="9"/>
        <v>1.295756397797214</v>
      </c>
      <c r="H54" s="160">
        <f t="shared" si="9"/>
        <v>1.3605442176870748</v>
      </c>
      <c r="I54" s="160">
        <f t="shared" si="9"/>
        <v>1.4285714285714286</v>
      </c>
      <c r="J54" s="171">
        <f>5*0.3</f>
        <v>1.5</v>
      </c>
      <c r="K54" s="160">
        <f t="shared" si="10"/>
        <v>1.5750000000000002</v>
      </c>
      <c r="L54" s="160">
        <f t="shared" si="10"/>
        <v>1.6537500000000003</v>
      </c>
      <c r="M54" s="160">
        <f t="shared" si="10"/>
        <v>1.7364375000000003</v>
      </c>
      <c r="N54" s="160">
        <f t="shared" si="10"/>
        <v>1.8232593750000003</v>
      </c>
      <c r="O54" s="160">
        <f t="shared" si="10"/>
        <v>1.9144223437500005</v>
      </c>
      <c r="P54" s="531">
        <f t="shared" si="10"/>
        <v>2.010143460937501</v>
      </c>
      <c r="Q54" s="142" t="s">
        <v>112</v>
      </c>
    </row>
    <row r="55" spans="1:17" ht="15" customHeight="1">
      <c r="A55" s="348" t="s">
        <v>90</v>
      </c>
      <c r="B55" s="539">
        <v>0.1</v>
      </c>
      <c r="C55" s="539">
        <v>0.07</v>
      </c>
      <c r="D55" s="160">
        <f t="shared" si="9"/>
        <v>598.3423658570039</v>
      </c>
      <c r="E55" s="160">
        <f t="shared" si="9"/>
        <v>658.1766024427043</v>
      </c>
      <c r="F55" s="160">
        <f t="shared" si="9"/>
        <v>723.9942626869747</v>
      </c>
      <c r="G55" s="160">
        <f t="shared" si="9"/>
        <v>796.3936889556722</v>
      </c>
      <c r="H55" s="160">
        <f t="shared" si="9"/>
        <v>876.0330578512395</v>
      </c>
      <c r="I55" s="160">
        <f t="shared" si="9"/>
        <v>963.6363636363635</v>
      </c>
      <c r="J55" s="190">
        <v>1060</v>
      </c>
      <c r="K55" s="160">
        <f t="shared" si="10"/>
        <v>1134.2</v>
      </c>
      <c r="L55" s="160">
        <f t="shared" si="10"/>
        <v>1213.594</v>
      </c>
      <c r="M55" s="160">
        <f t="shared" si="10"/>
        <v>1298.5455800000002</v>
      </c>
      <c r="N55" s="160">
        <f t="shared" si="10"/>
        <v>1389.4437706000003</v>
      </c>
      <c r="O55" s="160">
        <f t="shared" si="10"/>
        <v>1486.7048345420005</v>
      </c>
      <c r="P55" s="531">
        <f t="shared" si="10"/>
        <v>1590.7741729599406</v>
      </c>
      <c r="Q55" s="215" t="s">
        <v>113</v>
      </c>
    </row>
    <row r="56" spans="1:17" ht="13.75" customHeight="1">
      <c r="A56" s="348" t="s">
        <v>92</v>
      </c>
      <c r="B56" s="539">
        <v>0</v>
      </c>
      <c r="C56" s="539">
        <v>-0.01</v>
      </c>
      <c r="D56" s="160">
        <f t="shared" si="9"/>
        <v>70</v>
      </c>
      <c r="E56" s="160">
        <f t="shared" si="9"/>
        <v>70</v>
      </c>
      <c r="F56" s="160">
        <f t="shared" si="9"/>
        <v>70</v>
      </c>
      <c r="G56" s="160">
        <f t="shared" si="9"/>
        <v>70</v>
      </c>
      <c r="H56" s="160">
        <f t="shared" si="9"/>
        <v>70</v>
      </c>
      <c r="I56" s="160">
        <f t="shared" si="9"/>
        <v>70</v>
      </c>
      <c r="J56" s="171">
        <v>70</v>
      </c>
      <c r="K56" s="160">
        <f t="shared" si="10"/>
        <v>69.3</v>
      </c>
      <c r="L56" s="160">
        <f t="shared" si="10"/>
        <v>68.607</v>
      </c>
      <c r="M56" s="160">
        <f t="shared" si="10"/>
        <v>67.92093</v>
      </c>
      <c r="N56" s="160">
        <f t="shared" si="10"/>
        <v>67.2417207</v>
      </c>
      <c r="O56" s="160">
        <f t="shared" si="10"/>
        <v>66.569303493</v>
      </c>
      <c r="P56" s="531">
        <f t="shared" si="10"/>
        <v>65.90361045807</v>
      </c>
      <c r="Q56" s="142" t="s">
        <v>114</v>
      </c>
    </row>
    <row r="57" spans="1:17" ht="13.75" customHeight="1">
      <c r="A57" s="348" t="s">
        <v>94</v>
      </c>
      <c r="B57" s="539">
        <v>0</v>
      </c>
      <c r="C57" s="539">
        <v>-0.01</v>
      </c>
      <c r="D57" s="160">
        <f t="shared" si="9"/>
        <v>120</v>
      </c>
      <c r="E57" s="160">
        <f t="shared" si="9"/>
        <v>120</v>
      </c>
      <c r="F57" s="160">
        <f t="shared" si="9"/>
        <v>120</v>
      </c>
      <c r="G57" s="160">
        <f t="shared" si="9"/>
        <v>120</v>
      </c>
      <c r="H57" s="160">
        <f t="shared" si="9"/>
        <v>120</v>
      </c>
      <c r="I57" s="160">
        <f t="shared" si="9"/>
        <v>120</v>
      </c>
      <c r="J57" s="171">
        <v>120</v>
      </c>
      <c r="K57" s="160">
        <f t="shared" si="10"/>
        <v>118.8</v>
      </c>
      <c r="L57" s="160">
        <f t="shared" si="10"/>
        <v>117.612</v>
      </c>
      <c r="M57" s="160">
        <f t="shared" si="10"/>
        <v>116.43588</v>
      </c>
      <c r="N57" s="160">
        <f t="shared" si="10"/>
        <v>115.2715212</v>
      </c>
      <c r="O57" s="160">
        <f t="shared" si="10"/>
        <v>114.11880598799999</v>
      </c>
      <c r="P57" s="531">
        <f t="shared" si="10"/>
        <v>112.97761792812</v>
      </c>
      <c r="Q57" s="142" t="s">
        <v>115</v>
      </c>
    </row>
    <row r="58" spans="1:17" ht="13.75" customHeight="1">
      <c r="A58" s="348" t="s">
        <v>96</v>
      </c>
      <c r="B58" s="539">
        <v>0</v>
      </c>
      <c r="C58" s="539">
        <v>-0.01</v>
      </c>
      <c r="D58" s="160">
        <f t="shared" si="9"/>
        <v>120</v>
      </c>
      <c r="E58" s="160">
        <f t="shared" si="9"/>
        <v>120</v>
      </c>
      <c r="F58" s="160">
        <f t="shared" si="9"/>
        <v>120</v>
      </c>
      <c r="G58" s="160">
        <f t="shared" si="9"/>
        <v>120</v>
      </c>
      <c r="H58" s="160">
        <f t="shared" si="9"/>
        <v>120</v>
      </c>
      <c r="I58" s="160">
        <f t="shared" si="9"/>
        <v>120</v>
      </c>
      <c r="J58" s="171">
        <v>120</v>
      </c>
      <c r="K58" s="160">
        <f t="shared" si="10"/>
        <v>118.8</v>
      </c>
      <c r="L58" s="160">
        <f t="shared" si="10"/>
        <v>117.612</v>
      </c>
      <c r="M58" s="160">
        <f t="shared" si="10"/>
        <v>116.43588</v>
      </c>
      <c r="N58" s="160">
        <f t="shared" si="10"/>
        <v>115.2715212</v>
      </c>
      <c r="O58" s="160">
        <f t="shared" si="10"/>
        <v>114.11880598799999</v>
      </c>
      <c r="P58" s="531">
        <f t="shared" si="10"/>
        <v>112.97761792812</v>
      </c>
      <c r="Q58" s="142" t="s">
        <v>116</v>
      </c>
    </row>
    <row r="59" spans="1:17" ht="13.75" customHeight="1">
      <c r="A59" s="157" t="s">
        <v>5</v>
      </c>
      <c r="B59" s="539">
        <v>0.01</v>
      </c>
      <c r="C59" s="539">
        <v>0.03</v>
      </c>
      <c r="D59" s="160">
        <f t="shared" si="9"/>
        <v>47.10226176271033</v>
      </c>
      <c r="E59" s="160">
        <f t="shared" si="9"/>
        <v>47.573284380337434</v>
      </c>
      <c r="F59" s="160">
        <f t="shared" si="9"/>
        <v>48.04901722414081</v>
      </c>
      <c r="G59" s="160">
        <f t="shared" si="9"/>
        <v>48.52950739638222</v>
      </c>
      <c r="H59" s="160">
        <f t="shared" si="9"/>
        <v>49.01480247034605</v>
      </c>
      <c r="I59" s="160">
        <f t="shared" si="9"/>
        <v>49.504950495049506</v>
      </c>
      <c r="J59" s="171">
        <v>50</v>
      </c>
      <c r="K59" s="160">
        <f t="shared" si="10"/>
        <v>51.5</v>
      </c>
      <c r="L59" s="160">
        <f t="shared" si="10"/>
        <v>53.045</v>
      </c>
      <c r="M59" s="160">
        <f t="shared" si="10"/>
        <v>54.63635</v>
      </c>
      <c r="N59" s="160">
        <f t="shared" si="10"/>
        <v>56.2754405</v>
      </c>
      <c r="O59" s="160">
        <f t="shared" si="10"/>
        <v>57.963703715</v>
      </c>
      <c r="P59" s="160">
        <f t="shared" si="10"/>
        <v>59.70261482645</v>
      </c>
      <c r="Q59" s="142" t="s">
        <v>117</v>
      </c>
    </row>
    <row r="60" spans="1:17" ht="13.75" customHeight="1">
      <c r="A60" s="157" t="s">
        <v>33</v>
      </c>
      <c r="B60" s="539">
        <v>0.03</v>
      </c>
      <c r="C60" s="539">
        <v>0.03</v>
      </c>
      <c r="D60" s="160">
        <f t="shared" si="9"/>
        <v>66.99874053469233</v>
      </c>
      <c r="E60" s="160">
        <f t="shared" si="9"/>
        <v>69.00870275073311</v>
      </c>
      <c r="F60" s="160">
        <f t="shared" si="9"/>
        <v>71.0789638332551</v>
      </c>
      <c r="G60" s="160">
        <f t="shared" si="9"/>
        <v>73.21133274825276</v>
      </c>
      <c r="H60" s="160">
        <f t="shared" si="9"/>
        <v>75.40767273070034</v>
      </c>
      <c r="I60" s="160">
        <f t="shared" si="9"/>
        <v>77.66990291262135</v>
      </c>
      <c r="J60" s="171">
        <v>80</v>
      </c>
      <c r="K60" s="160">
        <f t="shared" si="10"/>
        <v>82.4</v>
      </c>
      <c r="L60" s="160">
        <f t="shared" si="10"/>
        <v>84.87200000000001</v>
      </c>
      <c r="M60" s="160">
        <f t="shared" si="10"/>
        <v>87.41816000000001</v>
      </c>
      <c r="N60" s="160">
        <f t="shared" si="10"/>
        <v>90.04070480000001</v>
      </c>
      <c r="O60" s="160">
        <f t="shared" si="10"/>
        <v>92.74192594400002</v>
      </c>
      <c r="P60" s="160">
        <f t="shared" si="10"/>
        <v>95.52418372232002</v>
      </c>
      <c r="Q60" s="142" t="s">
        <v>118</v>
      </c>
    </row>
    <row r="61" spans="1:17" ht="13.75" customHeight="1">
      <c r="A61" s="157" t="s">
        <v>101</v>
      </c>
      <c r="B61" s="539">
        <v>0.1</v>
      </c>
      <c r="C61" s="539">
        <v>0.07</v>
      </c>
      <c r="D61" s="160">
        <f t="shared" si="9"/>
        <v>733.8161090699102</v>
      </c>
      <c r="E61" s="160">
        <f t="shared" si="9"/>
        <v>807.1977199769013</v>
      </c>
      <c r="F61" s="160">
        <f t="shared" si="9"/>
        <v>887.9174919745916</v>
      </c>
      <c r="G61" s="160">
        <f t="shared" si="9"/>
        <v>976.7092411720508</v>
      </c>
      <c r="H61" s="160">
        <f t="shared" si="9"/>
        <v>1074.380165289256</v>
      </c>
      <c r="I61" s="160">
        <f t="shared" si="9"/>
        <v>1181.8181818181818</v>
      </c>
      <c r="J61" s="190">
        <v>1300</v>
      </c>
      <c r="K61" s="160">
        <f t="shared" si="10"/>
        <v>1391</v>
      </c>
      <c r="L61" s="160">
        <f t="shared" si="10"/>
        <v>1488.3700000000001</v>
      </c>
      <c r="M61" s="160">
        <f t="shared" si="10"/>
        <v>1592.5559000000003</v>
      </c>
      <c r="N61" s="160">
        <f t="shared" si="10"/>
        <v>1704.0348130000004</v>
      </c>
      <c r="O61" s="160">
        <f t="shared" si="10"/>
        <v>1823.3172499100006</v>
      </c>
      <c r="P61" s="160">
        <f t="shared" si="10"/>
        <v>1950.9494574037008</v>
      </c>
      <c r="Q61" s="142" t="s">
        <v>110</v>
      </c>
    </row>
    <row r="62" spans="1:17" ht="15" customHeight="1">
      <c r="A62" s="157" t="s">
        <v>16</v>
      </c>
      <c r="B62" s="539">
        <v>0.03</v>
      </c>
      <c r="C62" s="539">
        <v>0.02</v>
      </c>
      <c r="D62" s="160">
        <f t="shared" si="9"/>
        <v>41.87421283418271</v>
      </c>
      <c r="E62" s="160">
        <f t="shared" si="9"/>
        <v>43.13043921920819</v>
      </c>
      <c r="F62" s="160">
        <f t="shared" si="9"/>
        <v>44.42435239578444</v>
      </c>
      <c r="G62" s="160">
        <f t="shared" si="9"/>
        <v>45.75708296765797</v>
      </c>
      <c r="H62" s="160">
        <f t="shared" si="9"/>
        <v>47.12979545668771</v>
      </c>
      <c r="I62" s="160">
        <f t="shared" si="9"/>
        <v>48.543689320388346</v>
      </c>
      <c r="J62" s="171">
        <v>50</v>
      </c>
      <c r="K62" s="160">
        <f t="shared" si="10"/>
        <v>51</v>
      </c>
      <c r="L62" s="160">
        <f t="shared" si="10"/>
        <v>52.02</v>
      </c>
      <c r="M62" s="160">
        <f t="shared" si="10"/>
        <v>53.0604</v>
      </c>
      <c r="N62" s="160">
        <f t="shared" si="10"/>
        <v>54.121608</v>
      </c>
      <c r="O62" s="160">
        <f t="shared" si="10"/>
        <v>55.204040160000005</v>
      </c>
      <c r="P62" s="160">
        <f t="shared" si="10"/>
        <v>56.308120963200004</v>
      </c>
      <c r="Q62" s="142" t="s">
        <v>119</v>
      </c>
    </row>
    <row r="63" spans="1:16" ht="15" customHeight="1">
      <c r="A63" s="207"/>
      <c r="B63" s="207"/>
      <c r="C63" s="207"/>
      <c r="D63" s="142"/>
      <c r="E63" s="142"/>
      <c r="F63" s="142"/>
      <c r="G63" s="142"/>
      <c r="H63" s="142"/>
      <c r="I63" s="142"/>
      <c r="J63" s="142"/>
      <c r="K63" s="208"/>
      <c r="L63" s="208"/>
      <c r="M63" s="208"/>
      <c r="N63" s="208"/>
      <c r="O63" s="208"/>
      <c r="P63" s="208"/>
    </row>
    <row r="64" spans="1:16" ht="15" customHeight="1">
      <c r="A64" s="223"/>
      <c r="B64" s="223"/>
      <c r="C64" s="223"/>
      <c r="K64" s="208"/>
      <c r="L64" s="208"/>
      <c r="M64" s="208"/>
      <c r="N64" s="208"/>
      <c r="O64" s="208"/>
      <c r="P64" s="208"/>
    </row>
    <row r="65" spans="1:16" ht="30" customHeight="1">
      <c r="A65" s="530" t="s">
        <v>120</v>
      </c>
      <c r="B65" s="331" t="s">
        <v>354</v>
      </c>
      <c r="C65" s="331" t="s">
        <v>366</v>
      </c>
      <c r="D65" s="331">
        <v>2013</v>
      </c>
      <c r="E65" s="331">
        <v>2014</v>
      </c>
      <c r="F65" s="331">
        <v>2015</v>
      </c>
      <c r="G65" s="331">
        <v>2016</v>
      </c>
      <c r="H65" s="331">
        <v>2017</v>
      </c>
      <c r="I65" s="331">
        <v>2018</v>
      </c>
      <c r="J65" s="331">
        <v>2019</v>
      </c>
      <c r="K65" s="331">
        <v>2020</v>
      </c>
      <c r="L65" s="331">
        <v>2021</v>
      </c>
      <c r="M65" s="331">
        <v>2022</v>
      </c>
      <c r="N65" s="331">
        <v>2023</v>
      </c>
      <c r="O65" s="331">
        <v>2024</v>
      </c>
      <c r="P65" s="332">
        <v>2025</v>
      </c>
    </row>
    <row r="66" spans="1:17" ht="15" customHeight="1">
      <c r="A66" s="348" t="s">
        <v>74</v>
      </c>
      <c r="B66" s="539">
        <v>0</v>
      </c>
      <c r="C66" s="539">
        <v>0</v>
      </c>
      <c r="D66" s="160">
        <f t="shared" si="9"/>
        <v>1551.7241379310346</v>
      </c>
      <c r="E66" s="160">
        <f t="shared" si="9"/>
        <v>1551.7241379310346</v>
      </c>
      <c r="F66" s="160">
        <f t="shared" si="9"/>
        <v>1551.7241379310346</v>
      </c>
      <c r="G66" s="160">
        <f t="shared" si="9"/>
        <v>1551.7241379310346</v>
      </c>
      <c r="H66" s="160">
        <f t="shared" si="9"/>
        <v>1551.7241379310346</v>
      </c>
      <c r="I66" s="160">
        <f>J66/(1+$B66)</f>
        <v>1551.7241379310346</v>
      </c>
      <c r="J66" s="171">
        <f aca="true" t="shared" si="11" ref="J66:J82">$J46/0.29</f>
        <v>1551.7241379310346</v>
      </c>
      <c r="K66" s="160">
        <f t="shared" si="10"/>
        <v>1551.7241379310346</v>
      </c>
      <c r="L66" s="160">
        <f t="shared" si="10"/>
        <v>1551.7241379310346</v>
      </c>
      <c r="M66" s="160">
        <f t="shared" si="10"/>
        <v>1551.7241379310346</v>
      </c>
      <c r="N66" s="160">
        <f t="shared" si="10"/>
        <v>1551.7241379310346</v>
      </c>
      <c r="O66" s="160">
        <f t="shared" si="10"/>
        <v>1551.7241379310346</v>
      </c>
      <c r="P66" s="160">
        <f t="shared" si="10"/>
        <v>1551.7241379310346</v>
      </c>
      <c r="Q66" s="142" t="s">
        <v>121</v>
      </c>
    </row>
    <row r="67" spans="1:17" ht="15" customHeight="1">
      <c r="A67" s="348" t="s">
        <v>76</v>
      </c>
      <c r="B67" s="539">
        <v>0.04</v>
      </c>
      <c r="C67" s="539">
        <v>0.05</v>
      </c>
      <c r="D67" s="160">
        <f t="shared" si="9"/>
        <v>1144.5934510574523</v>
      </c>
      <c r="E67" s="160">
        <f t="shared" si="9"/>
        <v>1190.3771890997505</v>
      </c>
      <c r="F67" s="160">
        <f t="shared" si="9"/>
        <v>1237.9922766637405</v>
      </c>
      <c r="G67" s="160">
        <f t="shared" si="9"/>
        <v>1287.5119677302903</v>
      </c>
      <c r="H67" s="160">
        <f t="shared" si="9"/>
        <v>1339.012446439502</v>
      </c>
      <c r="I67" s="160">
        <f t="shared" si="9"/>
        <v>1392.5729442970821</v>
      </c>
      <c r="J67" s="171">
        <f t="shared" si="11"/>
        <v>1448.2758620689656</v>
      </c>
      <c r="K67" s="160">
        <f t="shared" si="10"/>
        <v>1520.689655172414</v>
      </c>
      <c r="L67" s="160">
        <f t="shared" si="10"/>
        <v>1596.7241379310346</v>
      </c>
      <c r="M67" s="160">
        <f t="shared" si="10"/>
        <v>1676.5603448275865</v>
      </c>
      <c r="N67" s="160">
        <f t="shared" si="10"/>
        <v>1760.388362068966</v>
      </c>
      <c r="O67" s="160">
        <f t="shared" si="10"/>
        <v>1848.4077801724143</v>
      </c>
      <c r="P67" s="531">
        <f t="shared" si="10"/>
        <v>1940.828169181035</v>
      </c>
      <c r="Q67" s="142" t="s">
        <v>122</v>
      </c>
    </row>
    <row r="68" spans="1:20" ht="15" customHeight="1">
      <c r="A68" s="348" t="s">
        <v>78</v>
      </c>
      <c r="B68" s="539">
        <v>0</v>
      </c>
      <c r="C68" s="539">
        <v>0</v>
      </c>
      <c r="D68" s="160">
        <f t="shared" si="9"/>
        <v>1150</v>
      </c>
      <c r="E68" s="160">
        <f t="shared" si="9"/>
        <v>1150</v>
      </c>
      <c r="F68" s="160">
        <f t="shared" si="9"/>
        <v>1150</v>
      </c>
      <c r="G68" s="160">
        <f t="shared" si="9"/>
        <v>1150</v>
      </c>
      <c r="H68" s="160">
        <f t="shared" si="9"/>
        <v>1150</v>
      </c>
      <c r="I68" s="160">
        <f t="shared" si="9"/>
        <v>1150</v>
      </c>
      <c r="J68" s="171">
        <v>1150</v>
      </c>
      <c r="K68" s="160">
        <f t="shared" si="10"/>
        <v>1150</v>
      </c>
      <c r="L68" s="160">
        <f t="shared" si="10"/>
        <v>1150</v>
      </c>
      <c r="M68" s="160">
        <f t="shared" si="10"/>
        <v>1150</v>
      </c>
      <c r="N68" s="160">
        <f t="shared" si="10"/>
        <v>1150</v>
      </c>
      <c r="O68" s="160">
        <f t="shared" si="10"/>
        <v>1150</v>
      </c>
      <c r="P68" s="531">
        <f t="shared" si="10"/>
        <v>1150</v>
      </c>
      <c r="Q68" s="211" t="s">
        <v>107</v>
      </c>
      <c r="R68" s="142"/>
      <c r="S68" s="142"/>
      <c r="T68" s="142"/>
    </row>
    <row r="69" spans="1:17" ht="15" customHeight="1">
      <c r="A69" s="348" t="s">
        <v>79</v>
      </c>
      <c r="B69" s="539">
        <v>0.02</v>
      </c>
      <c r="C69" s="539">
        <v>0.02</v>
      </c>
      <c r="D69" s="160">
        <f t="shared" si="9"/>
        <v>765.4925708501655</v>
      </c>
      <c r="E69" s="160">
        <f t="shared" si="9"/>
        <v>780.8024222671688</v>
      </c>
      <c r="F69" s="160">
        <f t="shared" si="9"/>
        <v>796.4184707125122</v>
      </c>
      <c r="G69" s="160">
        <f t="shared" si="9"/>
        <v>812.3468401267625</v>
      </c>
      <c r="H69" s="160">
        <f t="shared" si="9"/>
        <v>828.5937769292977</v>
      </c>
      <c r="I69" s="160">
        <f t="shared" si="9"/>
        <v>845.1656524678837</v>
      </c>
      <c r="J69" s="171">
        <f t="shared" si="11"/>
        <v>862.0689655172414</v>
      </c>
      <c r="K69" s="160">
        <f t="shared" si="10"/>
        <v>879.3103448275863</v>
      </c>
      <c r="L69" s="160">
        <f t="shared" si="10"/>
        <v>896.896551724138</v>
      </c>
      <c r="M69" s="160">
        <f t="shared" si="10"/>
        <v>914.8344827586208</v>
      </c>
      <c r="N69" s="160">
        <f t="shared" si="10"/>
        <v>933.1311724137933</v>
      </c>
      <c r="O69" s="160">
        <f t="shared" si="10"/>
        <v>951.7937958620691</v>
      </c>
      <c r="P69" s="531">
        <f t="shared" si="10"/>
        <v>970.8296717793105</v>
      </c>
      <c r="Q69" s="142" t="s">
        <v>116</v>
      </c>
    </row>
    <row r="70" spans="1:17" ht="15" customHeight="1">
      <c r="A70" s="348" t="s">
        <v>81</v>
      </c>
      <c r="B70" s="539">
        <v>0</v>
      </c>
      <c r="C70" s="539">
        <v>-0.01</v>
      </c>
      <c r="D70" s="160">
        <f t="shared" si="9"/>
        <v>344.82758620689657</v>
      </c>
      <c r="E70" s="160">
        <f t="shared" si="9"/>
        <v>344.82758620689657</v>
      </c>
      <c r="F70" s="160">
        <f t="shared" si="9"/>
        <v>344.82758620689657</v>
      </c>
      <c r="G70" s="160">
        <f t="shared" si="9"/>
        <v>344.82758620689657</v>
      </c>
      <c r="H70" s="160">
        <f t="shared" si="9"/>
        <v>344.82758620689657</v>
      </c>
      <c r="I70" s="168">
        <f t="shared" si="9"/>
        <v>344.82758620689657</v>
      </c>
      <c r="J70" s="171">
        <f t="shared" si="11"/>
        <v>344.82758620689657</v>
      </c>
      <c r="K70" s="160">
        <f t="shared" si="10"/>
        <v>341.3793103448276</v>
      </c>
      <c r="L70" s="160">
        <f t="shared" si="10"/>
        <v>337.96551724137936</v>
      </c>
      <c r="M70" s="160">
        <f t="shared" si="10"/>
        <v>334.5858620689656</v>
      </c>
      <c r="N70" s="160">
        <f t="shared" si="10"/>
        <v>331.2400034482759</v>
      </c>
      <c r="O70" s="160">
        <f t="shared" si="10"/>
        <v>327.9276034137931</v>
      </c>
      <c r="P70" s="531">
        <f t="shared" si="10"/>
        <v>324.6483273796552</v>
      </c>
      <c r="Q70" s="142" t="s">
        <v>116</v>
      </c>
    </row>
    <row r="71" spans="1:17" ht="15" customHeight="1">
      <c r="A71" s="348" t="s">
        <v>30</v>
      </c>
      <c r="B71" s="539">
        <v>0.11</v>
      </c>
      <c r="C71" s="539">
        <v>0.06</v>
      </c>
      <c r="D71" s="160">
        <f t="shared" si="9"/>
        <v>156.70507264671477</v>
      </c>
      <c r="E71" s="160">
        <f t="shared" si="9"/>
        <v>173.9426306378534</v>
      </c>
      <c r="F71" s="160">
        <f t="shared" si="9"/>
        <v>193.0763200080173</v>
      </c>
      <c r="G71" s="160">
        <f t="shared" si="9"/>
        <v>214.3147152088992</v>
      </c>
      <c r="H71" s="160">
        <f t="shared" si="9"/>
        <v>237.88933388187814</v>
      </c>
      <c r="I71" s="160">
        <f t="shared" si="9"/>
        <v>264.0571606088848</v>
      </c>
      <c r="J71" s="171">
        <f t="shared" si="11"/>
        <v>293.1034482758621</v>
      </c>
      <c r="K71" s="160">
        <f t="shared" si="10"/>
        <v>310.68965517241384</v>
      </c>
      <c r="L71" s="160">
        <f t="shared" si="10"/>
        <v>329.3310344827587</v>
      </c>
      <c r="M71" s="160">
        <f t="shared" si="10"/>
        <v>349.09089655172426</v>
      </c>
      <c r="N71" s="160">
        <f t="shared" si="10"/>
        <v>370.0363503448277</v>
      </c>
      <c r="O71" s="160">
        <f t="shared" si="10"/>
        <v>392.2385313655174</v>
      </c>
      <c r="P71" s="531">
        <f t="shared" si="10"/>
        <v>415.77284324744846</v>
      </c>
      <c r="Q71" s="142" t="s">
        <v>123</v>
      </c>
    </row>
    <row r="72" spans="1:17" ht="15" customHeight="1">
      <c r="A72" s="348" t="s">
        <v>84</v>
      </c>
      <c r="B72" s="539">
        <v>0.1</v>
      </c>
      <c r="C72" s="539">
        <v>0.05</v>
      </c>
      <c r="D72" s="160">
        <f t="shared" si="9"/>
        <v>389.2923655543291</v>
      </c>
      <c r="E72" s="160">
        <f t="shared" si="9"/>
        <v>428.22160210976205</v>
      </c>
      <c r="F72" s="160">
        <f t="shared" si="9"/>
        <v>471.04376232073827</v>
      </c>
      <c r="G72" s="160">
        <f t="shared" si="9"/>
        <v>518.1481385528122</v>
      </c>
      <c r="H72" s="160">
        <f t="shared" si="9"/>
        <v>569.9629524080934</v>
      </c>
      <c r="I72" s="160">
        <f t="shared" si="9"/>
        <v>626.9592476489028</v>
      </c>
      <c r="J72" s="171">
        <f t="shared" si="11"/>
        <v>689.6551724137931</v>
      </c>
      <c r="K72" s="160">
        <f t="shared" si="10"/>
        <v>724.1379310344828</v>
      </c>
      <c r="L72" s="160">
        <f t="shared" si="10"/>
        <v>760.344827586207</v>
      </c>
      <c r="M72" s="160">
        <f t="shared" si="10"/>
        <v>798.3620689655173</v>
      </c>
      <c r="N72" s="160">
        <f t="shared" si="10"/>
        <v>838.2801724137933</v>
      </c>
      <c r="O72" s="160">
        <f t="shared" si="10"/>
        <v>880.194181034483</v>
      </c>
      <c r="P72" s="531">
        <f t="shared" si="10"/>
        <v>924.2038900862071</v>
      </c>
      <c r="Q72" s="142" t="s">
        <v>116</v>
      </c>
    </row>
    <row r="73" spans="1:17" ht="15" customHeight="1">
      <c r="A73" s="348" t="s">
        <v>86</v>
      </c>
      <c r="B73" s="539">
        <v>0</v>
      </c>
      <c r="C73" s="539">
        <v>0</v>
      </c>
      <c r="D73" s="160">
        <f t="shared" si="9"/>
        <v>68.96551724137932</v>
      </c>
      <c r="E73" s="160">
        <f t="shared" si="9"/>
        <v>68.96551724137932</v>
      </c>
      <c r="F73" s="160">
        <f t="shared" si="9"/>
        <v>68.96551724137932</v>
      </c>
      <c r="G73" s="160">
        <f t="shared" si="9"/>
        <v>68.96551724137932</v>
      </c>
      <c r="H73" s="160">
        <f t="shared" si="9"/>
        <v>68.96551724137932</v>
      </c>
      <c r="I73" s="160">
        <f t="shared" si="9"/>
        <v>68.96551724137932</v>
      </c>
      <c r="J73" s="171">
        <f t="shared" si="11"/>
        <v>68.96551724137932</v>
      </c>
      <c r="K73" s="160">
        <f t="shared" si="10"/>
        <v>68.96551724137932</v>
      </c>
      <c r="L73" s="160">
        <f t="shared" si="10"/>
        <v>68.96551724137932</v>
      </c>
      <c r="M73" s="160">
        <f t="shared" si="10"/>
        <v>68.96551724137932</v>
      </c>
      <c r="N73" s="160">
        <f t="shared" si="10"/>
        <v>68.96551724137932</v>
      </c>
      <c r="O73" s="160">
        <f t="shared" si="10"/>
        <v>68.96551724137932</v>
      </c>
      <c r="P73" s="531">
        <f t="shared" si="10"/>
        <v>68.96551724137932</v>
      </c>
      <c r="Q73" s="142" t="s">
        <v>97</v>
      </c>
    </row>
    <row r="74" spans="1:17" ht="15" customHeight="1">
      <c r="A74" s="540" t="s">
        <v>88</v>
      </c>
      <c r="B74" s="541">
        <v>0.05</v>
      </c>
      <c r="C74" s="541">
        <v>0.05</v>
      </c>
      <c r="D74" s="160">
        <f t="shared" si="9"/>
        <v>3.859734810189453</v>
      </c>
      <c r="E74" s="160">
        <f t="shared" si="9"/>
        <v>4.052721550698926</v>
      </c>
      <c r="F74" s="160">
        <f t="shared" si="9"/>
        <v>4.255357628233872</v>
      </c>
      <c r="G74" s="160">
        <f t="shared" si="9"/>
        <v>4.468125509645565</v>
      </c>
      <c r="H74" s="160">
        <f t="shared" si="9"/>
        <v>4.691531785127844</v>
      </c>
      <c r="I74" s="160">
        <f t="shared" si="9"/>
        <v>4.926108374384237</v>
      </c>
      <c r="J74" s="171">
        <f t="shared" si="11"/>
        <v>5.172413793103448</v>
      </c>
      <c r="K74" s="160">
        <f t="shared" si="10"/>
        <v>5.431034482758621</v>
      </c>
      <c r="L74" s="160">
        <f t="shared" si="10"/>
        <v>5.7025862068965525</v>
      </c>
      <c r="M74" s="160">
        <f t="shared" si="10"/>
        <v>5.98771551724138</v>
      </c>
      <c r="N74" s="160">
        <f t="shared" si="10"/>
        <v>6.287101293103449</v>
      </c>
      <c r="O74" s="160">
        <f t="shared" si="10"/>
        <v>6.601456357758622</v>
      </c>
      <c r="P74" s="531">
        <f t="shared" si="10"/>
        <v>6.931529175646553</v>
      </c>
      <c r="Q74" s="142" t="s">
        <v>97</v>
      </c>
    </row>
    <row r="75" spans="1:20" ht="15" customHeight="1">
      <c r="A75" s="348" t="s">
        <v>90</v>
      </c>
      <c r="B75" s="539">
        <v>0.1</v>
      </c>
      <c r="C75" s="539">
        <v>0.08</v>
      </c>
      <c r="D75" s="160">
        <f t="shared" si="9"/>
        <v>1919.2113621828419</v>
      </c>
      <c r="E75" s="160">
        <f t="shared" si="9"/>
        <v>2111.132498401126</v>
      </c>
      <c r="F75" s="160">
        <f t="shared" si="9"/>
        <v>2322.245748241239</v>
      </c>
      <c r="G75" s="160">
        <f t="shared" si="9"/>
        <v>2554.4703230653636</v>
      </c>
      <c r="H75" s="160">
        <f t="shared" si="9"/>
        <v>2809.9173553719</v>
      </c>
      <c r="I75" s="160">
        <f t="shared" si="9"/>
        <v>3090.9090909090905</v>
      </c>
      <c r="J75" s="190">
        <v>3400</v>
      </c>
      <c r="K75" s="160">
        <f t="shared" si="10"/>
        <v>3672.0000000000005</v>
      </c>
      <c r="L75" s="160">
        <f t="shared" si="10"/>
        <v>3965.7600000000007</v>
      </c>
      <c r="M75" s="160">
        <f t="shared" si="10"/>
        <v>4283.020800000001</v>
      </c>
      <c r="N75" s="160">
        <f t="shared" si="10"/>
        <v>4625.662464000002</v>
      </c>
      <c r="O75" s="160">
        <f t="shared" si="10"/>
        <v>4995.715461120002</v>
      </c>
      <c r="P75" s="531">
        <f t="shared" si="10"/>
        <v>5395.372698009603</v>
      </c>
      <c r="Q75" s="211" t="s">
        <v>107</v>
      </c>
      <c r="R75" s="142"/>
      <c r="S75" s="142"/>
      <c r="T75" s="142"/>
    </row>
    <row r="76" spans="1:17" ht="15" customHeight="1">
      <c r="A76" s="348" t="s">
        <v>92</v>
      </c>
      <c r="B76" s="539">
        <v>0</v>
      </c>
      <c r="C76" s="539">
        <v>0</v>
      </c>
      <c r="D76" s="160">
        <f t="shared" si="9"/>
        <v>241.37931034482762</v>
      </c>
      <c r="E76" s="160">
        <f t="shared" si="9"/>
        <v>241.37931034482762</v>
      </c>
      <c r="F76" s="160">
        <f t="shared" si="9"/>
        <v>241.37931034482762</v>
      </c>
      <c r="G76" s="160">
        <f t="shared" si="9"/>
        <v>241.37931034482762</v>
      </c>
      <c r="H76" s="160">
        <f t="shared" si="9"/>
        <v>241.37931034482762</v>
      </c>
      <c r="I76" s="160">
        <f t="shared" si="9"/>
        <v>241.37931034482762</v>
      </c>
      <c r="J76" s="171">
        <f t="shared" si="11"/>
        <v>241.37931034482762</v>
      </c>
      <c r="K76" s="160">
        <f t="shared" si="10"/>
        <v>241.37931034482762</v>
      </c>
      <c r="L76" s="160">
        <f t="shared" si="10"/>
        <v>241.37931034482762</v>
      </c>
      <c r="M76" s="160">
        <f t="shared" si="10"/>
        <v>241.37931034482762</v>
      </c>
      <c r="N76" s="160">
        <f t="shared" si="10"/>
        <v>241.37931034482762</v>
      </c>
      <c r="O76" s="160">
        <f t="shared" si="10"/>
        <v>241.37931034482762</v>
      </c>
      <c r="P76" s="531">
        <f t="shared" si="10"/>
        <v>241.37931034482762</v>
      </c>
      <c r="Q76" s="142" t="s">
        <v>111</v>
      </c>
    </row>
    <row r="77" spans="1:17" ht="15" customHeight="1">
      <c r="A77" s="348" t="s">
        <v>94</v>
      </c>
      <c r="B77" s="539">
        <v>0</v>
      </c>
      <c r="C77" s="539">
        <v>0</v>
      </c>
      <c r="D77" s="160">
        <f t="shared" si="9"/>
        <v>413.7931034482759</v>
      </c>
      <c r="E77" s="160">
        <f t="shared" si="9"/>
        <v>413.7931034482759</v>
      </c>
      <c r="F77" s="160">
        <f t="shared" si="9"/>
        <v>413.7931034482759</v>
      </c>
      <c r="G77" s="160">
        <f t="shared" si="9"/>
        <v>413.7931034482759</v>
      </c>
      <c r="H77" s="160">
        <f t="shared" si="9"/>
        <v>413.7931034482759</v>
      </c>
      <c r="I77" s="160">
        <f t="shared" si="9"/>
        <v>413.7931034482759</v>
      </c>
      <c r="J77" s="171">
        <f t="shared" si="11"/>
        <v>413.7931034482759</v>
      </c>
      <c r="K77" s="160">
        <f t="shared" si="10"/>
        <v>413.7931034482759</v>
      </c>
      <c r="L77" s="160">
        <f t="shared" si="10"/>
        <v>413.7931034482759</v>
      </c>
      <c r="M77" s="160">
        <f t="shared" si="10"/>
        <v>413.7931034482759</v>
      </c>
      <c r="N77" s="160">
        <f t="shared" si="10"/>
        <v>413.7931034482759</v>
      </c>
      <c r="O77" s="160">
        <f t="shared" si="10"/>
        <v>413.7931034482759</v>
      </c>
      <c r="P77" s="531">
        <f t="shared" si="10"/>
        <v>413.7931034482759</v>
      </c>
      <c r="Q77" s="142" t="s">
        <v>111</v>
      </c>
    </row>
    <row r="78" spans="1:17" ht="15" customHeight="1">
      <c r="A78" s="348" t="s">
        <v>96</v>
      </c>
      <c r="B78" s="539">
        <v>0</v>
      </c>
      <c r="C78" s="539">
        <v>0</v>
      </c>
      <c r="D78" s="160">
        <f t="shared" si="9"/>
        <v>413.7931034482759</v>
      </c>
      <c r="E78" s="160">
        <f t="shared" si="9"/>
        <v>413.7931034482759</v>
      </c>
      <c r="F78" s="160">
        <f t="shared" si="9"/>
        <v>413.7931034482759</v>
      </c>
      <c r="G78" s="160">
        <f t="shared" si="9"/>
        <v>413.7931034482759</v>
      </c>
      <c r="H78" s="160">
        <f t="shared" si="9"/>
        <v>413.7931034482759</v>
      </c>
      <c r="I78" s="160">
        <f t="shared" si="9"/>
        <v>413.7931034482759</v>
      </c>
      <c r="J78" s="171">
        <f t="shared" si="11"/>
        <v>413.7931034482759</v>
      </c>
      <c r="K78" s="160">
        <f t="shared" si="10"/>
        <v>413.7931034482759</v>
      </c>
      <c r="L78" s="160">
        <f t="shared" si="10"/>
        <v>413.7931034482759</v>
      </c>
      <c r="M78" s="160">
        <f t="shared" si="10"/>
        <v>413.7931034482759</v>
      </c>
      <c r="N78" s="160">
        <f t="shared" si="10"/>
        <v>413.7931034482759</v>
      </c>
      <c r="O78" s="160">
        <f t="shared" si="10"/>
        <v>413.7931034482759</v>
      </c>
      <c r="P78" s="531">
        <f t="shared" si="10"/>
        <v>413.7931034482759</v>
      </c>
      <c r="Q78" s="142" t="s">
        <v>97</v>
      </c>
    </row>
    <row r="79" spans="1:17" ht="15" customHeight="1">
      <c r="A79" s="157" t="s">
        <v>5</v>
      </c>
      <c r="B79" s="539">
        <v>0.01</v>
      </c>
      <c r="C79" s="539">
        <v>0.04</v>
      </c>
      <c r="D79" s="160">
        <f t="shared" si="9"/>
        <v>162.42159228520805</v>
      </c>
      <c r="E79" s="160">
        <f t="shared" si="9"/>
        <v>164.04580820806012</v>
      </c>
      <c r="F79" s="160">
        <f t="shared" si="9"/>
        <v>165.68626629014074</v>
      </c>
      <c r="G79" s="160">
        <f t="shared" si="9"/>
        <v>167.34312895304214</v>
      </c>
      <c r="H79" s="160">
        <f t="shared" si="9"/>
        <v>169.01656024257255</v>
      </c>
      <c r="I79" s="160">
        <f t="shared" si="9"/>
        <v>170.7067258449983</v>
      </c>
      <c r="J79" s="171">
        <f t="shared" si="11"/>
        <v>172.41379310344828</v>
      </c>
      <c r="K79" s="160">
        <f t="shared" si="10"/>
        <v>179.31034482758622</v>
      </c>
      <c r="L79" s="160">
        <f t="shared" si="10"/>
        <v>186.48275862068968</v>
      </c>
      <c r="M79" s="160">
        <f t="shared" si="10"/>
        <v>193.94206896551728</v>
      </c>
      <c r="N79" s="160">
        <f t="shared" si="10"/>
        <v>201.69975172413797</v>
      </c>
      <c r="O79" s="160">
        <f t="shared" si="10"/>
        <v>209.76774179310348</v>
      </c>
      <c r="P79" s="160">
        <f t="shared" si="10"/>
        <v>218.15845146482764</v>
      </c>
      <c r="Q79" s="142" t="s">
        <v>124</v>
      </c>
    </row>
    <row r="80" spans="1:17" ht="14.4" customHeight="1">
      <c r="A80" s="157" t="s">
        <v>33</v>
      </c>
      <c r="B80" s="539">
        <v>0.03</v>
      </c>
      <c r="C80" s="539">
        <v>0.04</v>
      </c>
      <c r="D80" s="160">
        <f t="shared" si="9"/>
        <v>231.03013977480123</v>
      </c>
      <c r="E80" s="160">
        <f t="shared" si="9"/>
        <v>237.96104396804526</v>
      </c>
      <c r="F80" s="160">
        <f t="shared" si="9"/>
        <v>245.09987528708663</v>
      </c>
      <c r="G80" s="160">
        <f t="shared" si="9"/>
        <v>252.45287154569922</v>
      </c>
      <c r="H80" s="160">
        <f t="shared" si="9"/>
        <v>260.0264576920702</v>
      </c>
      <c r="I80" s="160">
        <f t="shared" si="9"/>
        <v>267.8272514228323</v>
      </c>
      <c r="J80" s="171">
        <f t="shared" si="11"/>
        <v>275.86206896551727</v>
      </c>
      <c r="K80" s="160">
        <f t="shared" si="10"/>
        <v>286.89655172413796</v>
      </c>
      <c r="L80" s="160">
        <f t="shared" si="10"/>
        <v>298.3724137931035</v>
      </c>
      <c r="M80" s="160">
        <f t="shared" si="10"/>
        <v>310.3073103448276</v>
      </c>
      <c r="N80" s="160">
        <f t="shared" si="10"/>
        <v>322.71960275862074</v>
      </c>
      <c r="O80" s="160">
        <f t="shared" si="10"/>
        <v>335.6283868689656</v>
      </c>
      <c r="P80" s="160">
        <f t="shared" si="10"/>
        <v>349.05352234372424</v>
      </c>
      <c r="Q80" s="142" t="s">
        <v>97</v>
      </c>
    </row>
    <row r="81" spans="1:17" ht="15" customHeight="1">
      <c r="A81" s="157" t="s">
        <v>101</v>
      </c>
      <c r="B81" s="539">
        <v>0.1</v>
      </c>
      <c r="C81" s="539">
        <v>0.08</v>
      </c>
      <c r="D81" s="160">
        <f t="shared" si="9"/>
        <v>2530.400376103139</v>
      </c>
      <c r="E81" s="160">
        <f t="shared" si="9"/>
        <v>2783.440413713453</v>
      </c>
      <c r="F81" s="160">
        <f t="shared" si="9"/>
        <v>3061.7844550847985</v>
      </c>
      <c r="G81" s="160">
        <f t="shared" si="9"/>
        <v>3367.962900593279</v>
      </c>
      <c r="H81" s="160">
        <f t="shared" si="9"/>
        <v>3704.7591906526072</v>
      </c>
      <c r="I81" s="160">
        <f t="shared" si="9"/>
        <v>4075.2351097178685</v>
      </c>
      <c r="J81" s="171">
        <f t="shared" si="11"/>
        <v>4482.758620689656</v>
      </c>
      <c r="K81" s="160">
        <f t="shared" si="10"/>
        <v>4841.379310344829</v>
      </c>
      <c r="L81" s="160">
        <f t="shared" si="10"/>
        <v>5228.689655172416</v>
      </c>
      <c r="M81" s="160">
        <f t="shared" si="10"/>
        <v>5646.98482758621</v>
      </c>
      <c r="N81" s="160">
        <f t="shared" si="10"/>
        <v>6098.743613793106</v>
      </c>
      <c r="O81" s="160">
        <f t="shared" si="10"/>
        <v>6586.643102896555</v>
      </c>
      <c r="P81" s="160">
        <f t="shared" si="10"/>
        <v>7113.57455112828</v>
      </c>
      <c r="Q81" s="142" t="s">
        <v>125</v>
      </c>
    </row>
    <row r="82" spans="1:17" ht="15" customHeight="1">
      <c r="A82" s="157" t="s">
        <v>16</v>
      </c>
      <c r="B82" s="539">
        <v>0.03</v>
      </c>
      <c r="C82" s="539">
        <v>0.03</v>
      </c>
      <c r="D82" s="160">
        <f t="shared" si="9"/>
        <v>144.39383735925077</v>
      </c>
      <c r="E82" s="160">
        <f t="shared" si="9"/>
        <v>148.7256524800283</v>
      </c>
      <c r="F82" s="160">
        <f t="shared" si="9"/>
        <v>153.18742205442913</v>
      </c>
      <c r="G82" s="160">
        <f t="shared" si="9"/>
        <v>157.78304471606202</v>
      </c>
      <c r="H82" s="160">
        <f t="shared" si="9"/>
        <v>162.51653605754387</v>
      </c>
      <c r="I82" s="160">
        <f t="shared" si="9"/>
        <v>167.39203213927019</v>
      </c>
      <c r="J82" s="171">
        <f t="shared" si="11"/>
        <v>172.41379310344828</v>
      </c>
      <c r="K82" s="160">
        <f t="shared" si="10"/>
        <v>177.58620689655174</v>
      </c>
      <c r="L82" s="160">
        <f t="shared" si="10"/>
        <v>182.9137931034483</v>
      </c>
      <c r="M82" s="160">
        <f t="shared" si="10"/>
        <v>188.40120689655177</v>
      </c>
      <c r="N82" s="160">
        <f t="shared" si="10"/>
        <v>194.05324310344832</v>
      </c>
      <c r="O82" s="160">
        <f t="shared" si="10"/>
        <v>199.87484039655178</v>
      </c>
      <c r="P82" s="160">
        <f t="shared" si="10"/>
        <v>205.87108560844834</v>
      </c>
      <c r="Q82" s="142" t="s">
        <v>97</v>
      </c>
    </row>
    <row r="83" spans="1:17" ht="25.25" customHeight="1">
      <c r="A83" s="236"/>
      <c r="B83" s="237"/>
      <c r="C83" s="416"/>
      <c r="D83" s="417"/>
      <c r="E83" s="238"/>
      <c r="F83" s="238"/>
      <c r="G83" s="238"/>
      <c r="H83" s="417"/>
      <c r="I83" s="417"/>
      <c r="J83" s="239"/>
      <c r="K83" s="238"/>
      <c r="L83" s="238"/>
      <c r="M83" s="238"/>
      <c r="N83" s="238"/>
      <c r="O83" s="238"/>
      <c r="P83" s="238"/>
      <c r="Q83" s="142"/>
    </row>
    <row r="84" spans="1:17" ht="27.75" customHeight="1">
      <c r="A84" s="530" t="s">
        <v>126</v>
      </c>
      <c r="B84" s="331" t="s">
        <v>354</v>
      </c>
      <c r="C84" s="331" t="s">
        <v>366</v>
      </c>
      <c r="D84" s="331">
        <v>2013</v>
      </c>
      <c r="E84" s="331">
        <v>2014</v>
      </c>
      <c r="F84" s="331">
        <v>2015</v>
      </c>
      <c r="G84" s="331">
        <v>2016</v>
      </c>
      <c r="H84" s="331">
        <v>2017</v>
      </c>
      <c r="I84" s="331">
        <v>2018</v>
      </c>
      <c r="J84" s="331">
        <v>2019</v>
      </c>
      <c r="K84" s="331">
        <v>2020</v>
      </c>
      <c r="L84" s="331">
        <v>2021</v>
      </c>
      <c r="M84" s="331">
        <v>2022</v>
      </c>
      <c r="N84" s="331">
        <v>2023</v>
      </c>
      <c r="O84" s="331">
        <v>2024</v>
      </c>
      <c r="P84" s="332">
        <v>2025</v>
      </c>
      <c r="Q84" s="142"/>
    </row>
    <row r="85" spans="1:17" ht="15" customHeight="1">
      <c r="A85" s="348" t="s">
        <v>74</v>
      </c>
      <c r="B85" s="539">
        <v>-0.05</v>
      </c>
      <c r="C85" s="539">
        <v>-0.01</v>
      </c>
      <c r="D85" s="160">
        <f t="shared" si="9"/>
        <v>635.2947243139098</v>
      </c>
      <c r="E85" s="160">
        <f aca="true" t="shared" si="12" ref="E85:I86">F85/(1+$B85)</f>
        <v>603.5299880982143</v>
      </c>
      <c r="F85" s="171">
        <f t="shared" si="12"/>
        <v>573.3534886933036</v>
      </c>
      <c r="G85" s="160">
        <f t="shared" si="12"/>
        <v>544.6858142586384</v>
      </c>
      <c r="H85" s="160">
        <f t="shared" si="12"/>
        <v>517.4515235457064</v>
      </c>
      <c r="I85" s="160">
        <f t="shared" si="12"/>
        <v>491.5789473684211</v>
      </c>
      <c r="J85" s="168">
        <v>467</v>
      </c>
      <c r="K85" s="160">
        <f t="shared" si="10"/>
        <v>462.33</v>
      </c>
      <c r="L85" s="160">
        <f t="shared" si="10"/>
        <v>457.70669999999996</v>
      </c>
      <c r="M85" s="168">
        <f t="shared" si="10"/>
        <v>453.12963299999996</v>
      </c>
      <c r="N85" s="168">
        <f t="shared" si="10"/>
        <v>448.5983366699999</v>
      </c>
      <c r="O85" s="168">
        <f t="shared" si="10"/>
        <v>444.1123533032999</v>
      </c>
      <c r="P85" s="537">
        <f t="shared" si="10"/>
        <v>439.6712297702669</v>
      </c>
      <c r="Q85" s="142" t="s">
        <v>127</v>
      </c>
    </row>
    <row r="86" spans="1:17" ht="15" customHeight="1">
      <c r="A86" s="348" t="s">
        <v>76</v>
      </c>
      <c r="B86" s="539">
        <v>0</v>
      </c>
      <c r="C86" s="539">
        <v>0</v>
      </c>
      <c r="D86" s="160">
        <f t="shared" si="9"/>
        <v>850</v>
      </c>
      <c r="E86" s="160">
        <f t="shared" si="12"/>
        <v>850</v>
      </c>
      <c r="F86" s="160">
        <f t="shared" si="12"/>
        <v>850</v>
      </c>
      <c r="G86" s="160">
        <f t="shared" si="12"/>
        <v>850</v>
      </c>
      <c r="H86" s="160">
        <f t="shared" si="12"/>
        <v>850</v>
      </c>
      <c r="I86" s="160">
        <f t="shared" si="12"/>
        <v>850</v>
      </c>
      <c r="J86" s="190">
        <v>850</v>
      </c>
      <c r="K86" s="160">
        <f t="shared" si="10"/>
        <v>850</v>
      </c>
      <c r="L86" s="160">
        <f t="shared" si="10"/>
        <v>850</v>
      </c>
      <c r="M86" s="168">
        <f t="shared" si="10"/>
        <v>850</v>
      </c>
      <c r="N86" s="168">
        <f t="shared" si="10"/>
        <v>850</v>
      </c>
      <c r="O86" s="168">
        <f t="shared" si="10"/>
        <v>850</v>
      </c>
      <c r="P86" s="537">
        <f t="shared" si="10"/>
        <v>850</v>
      </c>
      <c r="Q86" s="142" t="s">
        <v>128</v>
      </c>
    </row>
    <row r="87" spans="1:17" ht="15" customHeight="1">
      <c r="A87" s="348" t="s">
        <v>78</v>
      </c>
      <c r="B87" s="539">
        <v>-0.01</v>
      </c>
      <c r="C87" s="539">
        <v>0.01</v>
      </c>
      <c r="D87" s="160">
        <f t="shared" si="9"/>
        <v>884.7770189631524</v>
      </c>
      <c r="E87" s="160">
        <f t="shared" si="9"/>
        <v>875.9292487735208</v>
      </c>
      <c r="F87" s="160">
        <f t="shared" si="9"/>
        <v>867.1699562857856</v>
      </c>
      <c r="G87" s="171">
        <f t="shared" si="9"/>
        <v>858.4982567229277</v>
      </c>
      <c r="H87" s="171">
        <f t="shared" si="9"/>
        <v>849.9132741556984</v>
      </c>
      <c r="I87" s="160">
        <f t="shared" si="9"/>
        <v>841.4141414141415</v>
      </c>
      <c r="J87" s="168">
        <f>1300-J85</f>
        <v>833</v>
      </c>
      <c r="K87" s="160">
        <f t="shared" si="10"/>
        <v>841.33</v>
      </c>
      <c r="L87" s="160">
        <f t="shared" si="10"/>
        <v>849.7433000000001</v>
      </c>
      <c r="M87" s="168">
        <f t="shared" si="10"/>
        <v>858.2407330000001</v>
      </c>
      <c r="N87" s="168">
        <f t="shared" si="10"/>
        <v>866.8231403300001</v>
      </c>
      <c r="O87" s="168">
        <f t="shared" si="10"/>
        <v>875.4913717333001</v>
      </c>
      <c r="P87" s="537">
        <f t="shared" si="10"/>
        <v>884.2462854506331</v>
      </c>
      <c r="Q87" s="142" t="s">
        <v>129</v>
      </c>
    </row>
    <row r="88" spans="1:17" ht="15" customHeight="1">
      <c r="A88" s="348" t="s">
        <v>79</v>
      </c>
      <c r="B88" s="539">
        <v>0.01</v>
      </c>
      <c r="C88" s="539">
        <v>0.01</v>
      </c>
      <c r="D88" s="160">
        <f t="shared" si="9"/>
        <v>659.4316646779448</v>
      </c>
      <c r="E88" s="160">
        <f t="shared" si="9"/>
        <v>666.0259813247243</v>
      </c>
      <c r="F88" s="160">
        <f t="shared" si="9"/>
        <v>672.6862411379715</v>
      </c>
      <c r="G88" s="160">
        <f t="shared" si="9"/>
        <v>679.4131035493511</v>
      </c>
      <c r="H88" s="160">
        <f t="shared" si="9"/>
        <v>686.2072345848446</v>
      </c>
      <c r="I88" s="160">
        <f t="shared" si="9"/>
        <v>693.0693069306931</v>
      </c>
      <c r="J88" s="190">
        <v>700</v>
      </c>
      <c r="K88" s="160">
        <f t="shared" si="10"/>
        <v>707</v>
      </c>
      <c r="L88" s="160">
        <f t="shared" si="10"/>
        <v>714.07</v>
      </c>
      <c r="M88" s="168">
        <f t="shared" si="10"/>
        <v>721.2107000000001</v>
      </c>
      <c r="N88" s="168">
        <f t="shared" si="10"/>
        <v>728.4228070000001</v>
      </c>
      <c r="O88" s="168">
        <f t="shared" si="10"/>
        <v>735.7070350700002</v>
      </c>
      <c r="P88" s="537">
        <f t="shared" si="10"/>
        <v>743.0641054207002</v>
      </c>
      <c r="Q88" s="142" t="s">
        <v>130</v>
      </c>
    </row>
    <row r="89" spans="1:17" ht="15" customHeight="1">
      <c r="A89" s="348" t="s">
        <v>81</v>
      </c>
      <c r="B89" s="539">
        <v>0.1</v>
      </c>
      <c r="C89" s="539">
        <v>0.02</v>
      </c>
      <c r="D89" s="160">
        <f t="shared" si="9"/>
        <v>626.5660623596928</v>
      </c>
      <c r="E89" s="160">
        <f t="shared" si="9"/>
        <v>689.2226685956621</v>
      </c>
      <c r="F89" s="168">
        <f t="shared" si="9"/>
        <v>758.1449354552283</v>
      </c>
      <c r="G89" s="168">
        <f t="shared" si="9"/>
        <v>833.9594290007511</v>
      </c>
      <c r="H89" s="160">
        <f t="shared" si="9"/>
        <v>917.3553719008263</v>
      </c>
      <c r="I89" s="160">
        <f t="shared" si="9"/>
        <v>1009.090909090909</v>
      </c>
      <c r="J89" s="171">
        <v>1110</v>
      </c>
      <c r="K89" s="160">
        <f t="shared" si="10"/>
        <v>1132.2</v>
      </c>
      <c r="L89" s="160">
        <f t="shared" si="10"/>
        <v>1154.844</v>
      </c>
      <c r="M89" s="168">
        <f t="shared" si="10"/>
        <v>1177.94088</v>
      </c>
      <c r="N89" s="168">
        <f t="shared" si="10"/>
        <v>1201.4996976000002</v>
      </c>
      <c r="O89" s="168">
        <f t="shared" si="10"/>
        <v>1225.5296915520003</v>
      </c>
      <c r="P89" s="537">
        <f t="shared" si="10"/>
        <v>1250.0402853830403</v>
      </c>
      <c r="Q89" s="142" t="s">
        <v>130</v>
      </c>
    </row>
    <row r="90" spans="1:17" ht="15" customHeight="1">
      <c r="A90" s="348" t="s">
        <v>30</v>
      </c>
      <c r="B90" s="539">
        <v>0.09</v>
      </c>
      <c r="C90" s="539">
        <v>0.07</v>
      </c>
      <c r="D90" s="160">
        <f t="shared" si="9"/>
        <v>2558.583099638715</v>
      </c>
      <c r="E90" s="160">
        <f t="shared" si="9"/>
        <v>2788.8555786061993</v>
      </c>
      <c r="F90" s="171">
        <f t="shared" si="9"/>
        <v>3039.8525806807575</v>
      </c>
      <c r="G90" s="160">
        <f t="shared" si="9"/>
        <v>3313.439312942026</v>
      </c>
      <c r="H90" s="160">
        <f t="shared" si="9"/>
        <v>3611.6488511068087</v>
      </c>
      <c r="I90" s="171">
        <f t="shared" si="9"/>
        <v>3936.697247706422</v>
      </c>
      <c r="J90" s="160">
        <v>4291</v>
      </c>
      <c r="K90" s="160">
        <f t="shared" si="10"/>
        <v>4591.37</v>
      </c>
      <c r="L90" s="160">
        <f t="shared" si="10"/>
        <v>4912.7659</v>
      </c>
      <c r="M90" s="168">
        <f t="shared" si="10"/>
        <v>5256.6595130000005</v>
      </c>
      <c r="N90" s="190">
        <f t="shared" si="10"/>
        <v>5624.625678910001</v>
      </c>
      <c r="O90" s="168">
        <f t="shared" si="10"/>
        <v>6018.349476433701</v>
      </c>
      <c r="P90" s="537">
        <f t="shared" si="10"/>
        <v>6439.63393978406</v>
      </c>
      <c r="Q90" s="142" t="s">
        <v>131</v>
      </c>
    </row>
    <row r="91" spans="1:17" ht="15" customHeight="1">
      <c r="A91" s="348" t="s">
        <v>84</v>
      </c>
      <c r="B91" s="539">
        <v>0.1</v>
      </c>
      <c r="C91" s="539">
        <v>0.09</v>
      </c>
      <c r="D91" s="160">
        <f t="shared" si="9"/>
        <v>358.4409455841485</v>
      </c>
      <c r="E91" s="160">
        <f t="shared" si="9"/>
        <v>394.2850401425634</v>
      </c>
      <c r="F91" s="160">
        <f t="shared" si="9"/>
        <v>433.71354415681975</v>
      </c>
      <c r="G91" s="171">
        <f t="shared" si="9"/>
        <v>477.08489857250174</v>
      </c>
      <c r="H91" s="160">
        <f t="shared" si="9"/>
        <v>524.793388429752</v>
      </c>
      <c r="I91" s="160">
        <f t="shared" si="9"/>
        <v>577.2727272727273</v>
      </c>
      <c r="J91" s="171">
        <v>635</v>
      </c>
      <c r="K91" s="160">
        <f t="shared" si="10"/>
        <v>692.1500000000001</v>
      </c>
      <c r="L91" s="171">
        <f t="shared" si="10"/>
        <v>754.4435000000002</v>
      </c>
      <c r="M91" s="168">
        <f t="shared" si="10"/>
        <v>822.3434150000003</v>
      </c>
      <c r="N91" s="168">
        <f t="shared" si="10"/>
        <v>896.3543223500004</v>
      </c>
      <c r="O91" s="168">
        <f t="shared" si="10"/>
        <v>977.0262113615005</v>
      </c>
      <c r="P91" s="537">
        <f t="shared" si="10"/>
        <v>1064.9585703840355</v>
      </c>
      <c r="Q91" s="142" t="s">
        <v>132</v>
      </c>
    </row>
    <row r="92" spans="1:17" ht="15" customHeight="1">
      <c r="A92" s="348" t="s">
        <v>86</v>
      </c>
      <c r="B92" s="539">
        <v>-0.15</v>
      </c>
      <c r="C92" s="539">
        <v>-0.09</v>
      </c>
      <c r="D92" s="160">
        <f t="shared" si="9"/>
        <v>5732.474550357578</v>
      </c>
      <c r="E92" s="160">
        <f t="shared" si="9"/>
        <v>4872.603367803941</v>
      </c>
      <c r="F92" s="160">
        <f t="shared" si="9"/>
        <v>4141.71286263335</v>
      </c>
      <c r="G92" s="160">
        <f t="shared" si="9"/>
        <v>3520.4559332383474</v>
      </c>
      <c r="H92" s="160">
        <f t="shared" si="9"/>
        <v>2992.387543252595</v>
      </c>
      <c r="I92" s="171">
        <f t="shared" si="9"/>
        <v>2543.529411764706</v>
      </c>
      <c r="J92" s="171">
        <v>2162</v>
      </c>
      <c r="K92" s="160">
        <f t="shared" si="10"/>
        <v>1967.42</v>
      </c>
      <c r="L92" s="160">
        <f t="shared" si="10"/>
        <v>1790.3522</v>
      </c>
      <c r="M92" s="168">
        <f t="shared" si="10"/>
        <v>1629.2205020000001</v>
      </c>
      <c r="N92" s="190">
        <f t="shared" si="10"/>
        <v>1482.5906568200003</v>
      </c>
      <c r="O92" s="168">
        <f t="shared" si="10"/>
        <v>1349.1574977062003</v>
      </c>
      <c r="P92" s="537">
        <f t="shared" si="10"/>
        <v>1227.7333229126423</v>
      </c>
      <c r="Q92" s="142" t="s">
        <v>133</v>
      </c>
    </row>
    <row r="93" spans="1:17" ht="15" customHeight="1">
      <c r="A93" s="540" t="s">
        <v>88</v>
      </c>
      <c r="B93" s="539">
        <v>0.25</v>
      </c>
      <c r="C93" s="427">
        <v>0.25</v>
      </c>
      <c r="D93" s="160">
        <f t="shared" si="9"/>
        <v>2175.7952</v>
      </c>
      <c r="E93" s="160">
        <f t="shared" si="9"/>
        <v>2719.744</v>
      </c>
      <c r="F93" s="168">
        <f t="shared" si="9"/>
        <v>3399.6800000000003</v>
      </c>
      <c r="G93" s="168">
        <f t="shared" si="9"/>
        <v>4249.6</v>
      </c>
      <c r="H93" s="190">
        <f t="shared" si="9"/>
        <v>5312</v>
      </c>
      <c r="I93" s="168">
        <f t="shared" si="9"/>
        <v>6640</v>
      </c>
      <c r="J93" s="190">
        <v>8300</v>
      </c>
      <c r="K93" s="168">
        <f t="shared" si="10"/>
        <v>10375</v>
      </c>
      <c r="L93" s="160">
        <f t="shared" si="10"/>
        <v>12968.75</v>
      </c>
      <c r="M93" s="168">
        <f t="shared" si="10"/>
        <v>16210.9375</v>
      </c>
      <c r="N93" s="168">
        <f t="shared" si="10"/>
        <v>20263.671875</v>
      </c>
      <c r="O93" s="168">
        <f t="shared" si="10"/>
        <v>25329.58984375</v>
      </c>
      <c r="P93" s="537">
        <f t="shared" si="10"/>
        <v>31661.9873046875</v>
      </c>
      <c r="Q93" s="142" t="s">
        <v>134</v>
      </c>
    </row>
    <row r="94" spans="1:19" ht="15" customHeight="1">
      <c r="A94" s="348" t="s">
        <v>90</v>
      </c>
      <c r="B94" s="539">
        <v>0.015</v>
      </c>
      <c r="C94" s="539">
        <v>0.015</v>
      </c>
      <c r="D94" s="160">
        <f t="shared" si="9"/>
        <v>2170.2086228449098</v>
      </c>
      <c r="E94" s="160">
        <f t="shared" si="9"/>
        <v>2202.761752187583</v>
      </c>
      <c r="F94" s="160">
        <f t="shared" si="9"/>
        <v>2235.8031784703967</v>
      </c>
      <c r="G94" s="193">
        <f t="shared" si="9"/>
        <v>2269.3402261474525</v>
      </c>
      <c r="H94" s="193">
        <f t="shared" si="9"/>
        <v>2303.380329539664</v>
      </c>
      <c r="I94" s="193">
        <f t="shared" si="9"/>
        <v>2337.931034482759</v>
      </c>
      <c r="J94" s="171">
        <v>2373</v>
      </c>
      <c r="K94" s="160">
        <f t="shared" si="10"/>
        <v>2408.595</v>
      </c>
      <c r="L94" s="160">
        <f t="shared" si="10"/>
        <v>2444.723925</v>
      </c>
      <c r="M94" s="168">
        <f t="shared" si="10"/>
        <v>2481.3947838749996</v>
      </c>
      <c r="N94" s="168">
        <f t="shared" si="10"/>
        <v>2518.6157056331244</v>
      </c>
      <c r="O94" s="168">
        <f t="shared" si="10"/>
        <v>2556.394941217621</v>
      </c>
      <c r="P94" s="537">
        <f t="shared" si="10"/>
        <v>2594.7408653358852</v>
      </c>
      <c r="Q94" s="142" t="s">
        <v>135</v>
      </c>
      <c r="S94" s="142">
        <f>1700/1500</f>
        <v>1.1333333333333333</v>
      </c>
    </row>
    <row r="95" spans="1:17" ht="15" customHeight="1">
      <c r="A95" s="348" t="s">
        <v>92</v>
      </c>
      <c r="B95" s="539">
        <v>0.1</v>
      </c>
      <c r="C95" s="539">
        <v>0.1</v>
      </c>
      <c r="D95" s="160">
        <f t="shared" si="9"/>
        <v>310.4606615295774</v>
      </c>
      <c r="E95" s="160">
        <f t="shared" si="9"/>
        <v>341.5067276825352</v>
      </c>
      <c r="F95" s="160">
        <f t="shared" si="9"/>
        <v>375.65740045078877</v>
      </c>
      <c r="G95" s="160">
        <f t="shared" si="9"/>
        <v>413.22314049586765</v>
      </c>
      <c r="H95" s="160">
        <f t="shared" si="9"/>
        <v>454.54545454545445</v>
      </c>
      <c r="I95" s="160">
        <f t="shared" si="9"/>
        <v>499.99999999999994</v>
      </c>
      <c r="J95" s="171">
        <v>550</v>
      </c>
      <c r="K95" s="160">
        <f t="shared" si="10"/>
        <v>605</v>
      </c>
      <c r="L95" s="160">
        <f t="shared" si="10"/>
        <v>665.5</v>
      </c>
      <c r="M95" s="168">
        <f t="shared" si="10"/>
        <v>732.0500000000001</v>
      </c>
      <c r="N95" s="168">
        <f t="shared" si="10"/>
        <v>805.2550000000001</v>
      </c>
      <c r="O95" s="168">
        <f t="shared" si="10"/>
        <v>885.7805000000002</v>
      </c>
      <c r="P95" s="537">
        <f t="shared" si="10"/>
        <v>974.3585500000003</v>
      </c>
      <c r="Q95" s="142" t="s">
        <v>136</v>
      </c>
    </row>
    <row r="96" spans="1:17" ht="15" customHeight="1">
      <c r="A96" s="348" t="s">
        <v>94</v>
      </c>
      <c r="B96" s="539">
        <v>0.04</v>
      </c>
      <c r="C96" s="539">
        <v>0.023</v>
      </c>
      <c r="D96" s="160">
        <f t="shared" si="9"/>
        <v>213.38492194713933</v>
      </c>
      <c r="E96" s="160">
        <f t="shared" si="9"/>
        <v>221.9203188250249</v>
      </c>
      <c r="F96" s="160">
        <f t="shared" si="9"/>
        <v>230.7971315780259</v>
      </c>
      <c r="G96" s="160">
        <f t="shared" si="9"/>
        <v>240.02901684114696</v>
      </c>
      <c r="H96" s="160">
        <f t="shared" si="9"/>
        <v>249.63017751479285</v>
      </c>
      <c r="I96" s="160">
        <f t="shared" si="9"/>
        <v>259.6153846153846</v>
      </c>
      <c r="J96" s="171">
        <v>270</v>
      </c>
      <c r="K96" s="160">
        <f t="shared" si="10"/>
        <v>276.21</v>
      </c>
      <c r="L96" s="160">
        <f t="shared" si="10"/>
        <v>282.56282999999996</v>
      </c>
      <c r="M96" s="168">
        <f t="shared" si="10"/>
        <v>289.0617750899999</v>
      </c>
      <c r="N96" s="168">
        <f t="shared" si="10"/>
        <v>295.7101959170699</v>
      </c>
      <c r="O96" s="168">
        <f t="shared" si="10"/>
        <v>302.51153042316247</v>
      </c>
      <c r="P96" s="537">
        <f t="shared" si="10"/>
        <v>309.4692956228952</v>
      </c>
      <c r="Q96" s="142" t="s">
        <v>137</v>
      </c>
    </row>
    <row r="97" spans="1:17" ht="15" customHeight="1">
      <c r="A97" s="348" t="s">
        <v>96</v>
      </c>
      <c r="B97" s="539">
        <v>0.02</v>
      </c>
      <c r="C97" s="539">
        <v>0.02</v>
      </c>
      <c r="D97" s="160">
        <f t="shared" si="9"/>
        <v>317.00578344047057</v>
      </c>
      <c r="E97" s="160">
        <f t="shared" si="9"/>
        <v>323.34589910927997</v>
      </c>
      <c r="F97" s="160">
        <f t="shared" si="9"/>
        <v>329.81281709146555</v>
      </c>
      <c r="G97" s="160">
        <f t="shared" si="9"/>
        <v>336.40907343329485</v>
      </c>
      <c r="H97" s="160">
        <f t="shared" si="9"/>
        <v>343.1372549019608</v>
      </c>
      <c r="I97" s="160">
        <f t="shared" si="9"/>
        <v>350</v>
      </c>
      <c r="J97" s="171">
        <v>357</v>
      </c>
      <c r="K97" s="160">
        <f t="shared" si="10"/>
        <v>364.14</v>
      </c>
      <c r="L97" s="160">
        <f t="shared" si="10"/>
        <v>371.4228</v>
      </c>
      <c r="M97" s="168">
        <f t="shared" si="10"/>
        <v>378.851256</v>
      </c>
      <c r="N97" s="168">
        <f t="shared" si="10"/>
        <v>386.42828112</v>
      </c>
      <c r="O97" s="168">
        <f t="shared" si="10"/>
        <v>394.15684674240003</v>
      </c>
      <c r="P97" s="537">
        <f t="shared" si="10"/>
        <v>402.039983677248</v>
      </c>
      <c r="Q97" s="142" t="s">
        <v>97</v>
      </c>
    </row>
    <row r="98" spans="1:17" ht="15" customHeight="1">
      <c r="A98" s="157" t="s">
        <v>5</v>
      </c>
      <c r="B98" s="539">
        <v>0.5</v>
      </c>
      <c r="C98" s="427">
        <v>0.5</v>
      </c>
      <c r="D98" s="160">
        <f t="shared" si="9"/>
        <v>5.530864197530864</v>
      </c>
      <c r="E98" s="160">
        <f t="shared" si="9"/>
        <v>8.296296296296296</v>
      </c>
      <c r="F98" s="160">
        <f t="shared" si="9"/>
        <v>12.444444444444445</v>
      </c>
      <c r="G98" s="160">
        <f t="shared" si="9"/>
        <v>18.666666666666668</v>
      </c>
      <c r="H98" s="160">
        <f t="shared" si="9"/>
        <v>28</v>
      </c>
      <c r="I98" s="160">
        <f t="shared" si="9"/>
        <v>42</v>
      </c>
      <c r="J98" s="190">
        <v>63</v>
      </c>
      <c r="K98" s="160">
        <f t="shared" si="10"/>
        <v>94.5</v>
      </c>
      <c r="L98" s="168">
        <f t="shared" si="10"/>
        <v>141.75</v>
      </c>
      <c r="M98" s="168">
        <f t="shared" si="10"/>
        <v>212.625</v>
      </c>
      <c r="N98" s="168">
        <f t="shared" si="10"/>
        <v>318.9375</v>
      </c>
      <c r="O98" s="168">
        <f t="shared" si="10"/>
        <v>478.40625</v>
      </c>
      <c r="P98" s="168">
        <f t="shared" si="10"/>
        <v>717.609375</v>
      </c>
      <c r="Q98" s="142" t="s">
        <v>138</v>
      </c>
    </row>
    <row r="99" spans="1:17" ht="15" customHeight="1">
      <c r="A99" s="157" t="s">
        <v>33</v>
      </c>
      <c r="B99" s="539">
        <v>0.8</v>
      </c>
      <c r="C99" s="427">
        <v>0.7</v>
      </c>
      <c r="D99" s="160">
        <f t="shared" si="9"/>
        <v>6.115448375266492</v>
      </c>
      <c r="E99" s="160">
        <f t="shared" si="9"/>
        <v>11.007807075479686</v>
      </c>
      <c r="F99" s="160">
        <f t="shared" si="9"/>
        <v>19.814052735863434</v>
      </c>
      <c r="G99" s="160">
        <f t="shared" si="9"/>
        <v>35.66529492455418</v>
      </c>
      <c r="H99" s="160">
        <f t="shared" si="9"/>
        <v>64.19753086419753</v>
      </c>
      <c r="I99" s="160">
        <f t="shared" si="9"/>
        <v>115.55555555555556</v>
      </c>
      <c r="J99" s="171">
        <v>208</v>
      </c>
      <c r="K99" s="160">
        <f t="shared" si="10"/>
        <v>353.59999999999997</v>
      </c>
      <c r="L99" s="168">
        <f t="shared" si="10"/>
        <v>601.1199999999999</v>
      </c>
      <c r="M99" s="168">
        <f t="shared" si="10"/>
        <v>1021.9039999999998</v>
      </c>
      <c r="N99" s="168">
        <f t="shared" si="10"/>
        <v>1737.2367999999997</v>
      </c>
      <c r="O99" s="168">
        <f t="shared" si="10"/>
        <v>2953.302559999999</v>
      </c>
      <c r="P99" s="168">
        <f t="shared" si="10"/>
        <v>5020.614351999999</v>
      </c>
      <c r="Q99" s="142" t="s">
        <v>139</v>
      </c>
    </row>
    <row r="100" spans="1:17" ht="15" customHeight="1">
      <c r="A100" s="157" t="s">
        <v>101</v>
      </c>
      <c r="B100" s="539">
        <v>0.2</v>
      </c>
      <c r="C100" s="427">
        <v>0.2</v>
      </c>
      <c r="D100" s="160">
        <f t="shared" si="9"/>
        <v>21.433470507544587</v>
      </c>
      <c r="E100" s="160">
        <f t="shared" si="9"/>
        <v>25.720164609053505</v>
      </c>
      <c r="F100" s="160">
        <f t="shared" si="9"/>
        <v>30.864197530864207</v>
      </c>
      <c r="G100" s="160">
        <f t="shared" si="9"/>
        <v>37.037037037037045</v>
      </c>
      <c r="H100" s="160">
        <f t="shared" si="9"/>
        <v>44.44444444444445</v>
      </c>
      <c r="I100" s="160">
        <f t="shared" si="9"/>
        <v>53.333333333333336</v>
      </c>
      <c r="J100" s="171">
        <v>64</v>
      </c>
      <c r="K100" s="160">
        <f t="shared" si="10"/>
        <v>76.8</v>
      </c>
      <c r="L100" s="168">
        <f t="shared" si="10"/>
        <v>92.16</v>
      </c>
      <c r="M100" s="168">
        <f t="shared" si="10"/>
        <v>110.592</v>
      </c>
      <c r="N100" s="168">
        <f t="shared" si="10"/>
        <v>132.7104</v>
      </c>
      <c r="O100" s="168">
        <f t="shared" si="10"/>
        <v>159.25248</v>
      </c>
      <c r="P100" s="168">
        <f t="shared" si="10"/>
        <v>191.10297599999998</v>
      </c>
      <c r="Q100" s="142" t="s">
        <v>140</v>
      </c>
    </row>
    <row r="101" spans="1:17" ht="15" customHeight="1">
      <c r="A101" s="157" t="s">
        <v>16</v>
      </c>
      <c r="B101" s="539">
        <v>0.1</v>
      </c>
      <c r="C101" s="427">
        <v>0.25</v>
      </c>
      <c r="D101" s="160">
        <f t="shared" si="9"/>
        <v>406.4212296387196</v>
      </c>
      <c r="E101" s="160">
        <f t="shared" si="9"/>
        <v>447.0633526025916</v>
      </c>
      <c r="F101" s="160">
        <f t="shared" si="9"/>
        <v>491.7696878628508</v>
      </c>
      <c r="G101" s="160">
        <f t="shared" si="9"/>
        <v>540.9466566491359</v>
      </c>
      <c r="H101" s="160">
        <f t="shared" si="9"/>
        <v>595.0413223140495</v>
      </c>
      <c r="I101" s="160">
        <f t="shared" si="9"/>
        <v>654.5454545454545</v>
      </c>
      <c r="J101" s="171">
        <v>720</v>
      </c>
      <c r="K101" s="160">
        <f aca="true" t="shared" si="13" ref="K101:P101">J101*(1+$C101)</f>
        <v>900</v>
      </c>
      <c r="L101" s="168">
        <f t="shared" si="13"/>
        <v>1125</v>
      </c>
      <c r="M101" s="168">
        <f t="shared" si="13"/>
        <v>1406.25</v>
      </c>
      <c r="N101" s="168">
        <f t="shared" si="13"/>
        <v>1757.8125</v>
      </c>
      <c r="O101" s="168">
        <f t="shared" si="13"/>
        <v>2197.265625</v>
      </c>
      <c r="P101" s="168">
        <f t="shared" si="13"/>
        <v>2746.58203125</v>
      </c>
      <c r="Q101" s="142" t="s">
        <v>141</v>
      </c>
    </row>
    <row r="102" spans="1:16" ht="15" customHeight="1">
      <c r="A102" s="157" t="s">
        <v>104</v>
      </c>
      <c r="B102" s="539"/>
      <c r="C102" s="539"/>
      <c r="D102" s="160">
        <f>SUM(D85:D101)</f>
        <v>17931.924268376297</v>
      </c>
      <c r="E102" s="160">
        <f aca="true" t="shared" si="14" ref="E102:P102">SUM(E85:E101)</f>
        <v>18041.81819173267</v>
      </c>
      <c r="F102" s="160">
        <f t="shared" si="14"/>
        <v>18463.276519207917</v>
      </c>
      <c r="G102" s="160">
        <f t="shared" si="14"/>
        <v>19218.4538604797</v>
      </c>
      <c r="H102" s="160">
        <f t="shared" si="14"/>
        <v>20344.133701100796</v>
      </c>
      <c r="I102" s="160">
        <f t="shared" si="14"/>
        <v>21895.633454080507</v>
      </c>
      <c r="J102" s="171">
        <f t="shared" si="14"/>
        <v>23953</v>
      </c>
      <c r="K102" s="160">
        <f t="shared" si="14"/>
        <v>26697.644999999997</v>
      </c>
      <c r="L102" s="168">
        <f t="shared" si="14"/>
        <v>30176.915154999995</v>
      </c>
      <c r="M102" s="168">
        <f t="shared" si="14"/>
        <v>34612.411690965</v>
      </c>
      <c r="N102" s="168">
        <f t="shared" si="14"/>
        <v>40315.29289735019</v>
      </c>
      <c r="O102" s="168">
        <f t="shared" si="14"/>
        <v>47732.03421429319</v>
      </c>
      <c r="P102" s="168">
        <f t="shared" si="14"/>
        <v>57517.852472678904</v>
      </c>
    </row>
    <row r="103" spans="1:16" ht="15" customHeight="1">
      <c r="A103" s="236"/>
      <c r="B103" s="237"/>
      <c r="C103" s="237"/>
      <c r="D103" s="238"/>
      <c r="E103" s="238"/>
      <c r="F103" s="238"/>
      <c r="G103" s="238"/>
      <c r="H103" s="238"/>
      <c r="I103" s="238"/>
      <c r="J103" s="239"/>
      <c r="K103" s="238"/>
      <c r="L103" s="240"/>
      <c r="M103" s="240"/>
      <c r="N103" s="240"/>
      <c r="O103" s="240"/>
      <c r="P103" s="240"/>
    </row>
    <row r="104" spans="1:16" ht="30" customHeight="1">
      <c r="A104" s="542" t="s">
        <v>142</v>
      </c>
      <c r="B104" s="331" t="s">
        <v>354</v>
      </c>
      <c r="C104" s="331" t="s">
        <v>366</v>
      </c>
      <c r="D104" s="331">
        <v>2013</v>
      </c>
      <c r="E104" s="331">
        <v>2014</v>
      </c>
      <c r="F104" s="331">
        <v>2015</v>
      </c>
      <c r="G104" s="331">
        <v>2016</v>
      </c>
      <c r="H104" s="331">
        <v>2017</v>
      </c>
      <c r="I104" s="331">
        <v>2018</v>
      </c>
      <c r="J104" s="331">
        <v>2019</v>
      </c>
      <c r="K104" s="331">
        <v>2020</v>
      </c>
      <c r="L104" s="331">
        <v>2021</v>
      </c>
      <c r="M104" s="331">
        <v>2022</v>
      </c>
      <c r="N104" s="331">
        <v>2023</v>
      </c>
      <c r="O104" s="331">
        <v>2024</v>
      </c>
      <c r="P104" s="332">
        <v>2025</v>
      </c>
    </row>
    <row r="105" spans="1:17" ht="22.75" customHeight="1">
      <c r="A105" s="348" t="s">
        <v>74</v>
      </c>
      <c r="B105" s="539">
        <v>0</v>
      </c>
      <c r="C105" s="539">
        <v>0</v>
      </c>
      <c r="D105" s="160">
        <f aca="true" t="shared" si="15" ref="D105:I121">E105/(1+$B105)</f>
        <v>130</v>
      </c>
      <c r="E105" s="160">
        <f t="shared" si="15"/>
        <v>130</v>
      </c>
      <c r="F105" s="160">
        <f t="shared" si="15"/>
        <v>130</v>
      </c>
      <c r="G105" s="160">
        <f t="shared" si="15"/>
        <v>130</v>
      </c>
      <c r="H105" s="160">
        <f t="shared" si="15"/>
        <v>130</v>
      </c>
      <c r="I105" s="160">
        <f t="shared" si="15"/>
        <v>130</v>
      </c>
      <c r="J105" s="171">
        <v>130</v>
      </c>
      <c r="K105" s="160">
        <f aca="true" t="shared" si="16" ref="K105:P130">(1+$C105)*J105</f>
        <v>130</v>
      </c>
      <c r="L105" s="160">
        <f t="shared" si="16"/>
        <v>130</v>
      </c>
      <c r="M105" s="168">
        <f t="shared" si="16"/>
        <v>130</v>
      </c>
      <c r="N105" s="168">
        <f t="shared" si="16"/>
        <v>130</v>
      </c>
      <c r="O105" s="168">
        <f t="shared" si="16"/>
        <v>130</v>
      </c>
      <c r="P105" s="537">
        <f t="shared" si="16"/>
        <v>130</v>
      </c>
      <c r="Q105" s="142" t="s">
        <v>109</v>
      </c>
    </row>
    <row r="106" spans="1:17" ht="15" customHeight="1">
      <c r="A106" s="348" t="s">
        <v>76</v>
      </c>
      <c r="B106" s="539">
        <v>0.03</v>
      </c>
      <c r="C106" s="539">
        <v>0.03</v>
      </c>
      <c r="D106" s="160">
        <f t="shared" si="15"/>
        <v>50.24905540101925</v>
      </c>
      <c r="E106" s="160">
        <f t="shared" si="15"/>
        <v>51.75652706304983</v>
      </c>
      <c r="F106" s="160">
        <f t="shared" si="15"/>
        <v>53.30922287494133</v>
      </c>
      <c r="G106" s="160">
        <f t="shared" si="15"/>
        <v>54.908499561189565</v>
      </c>
      <c r="H106" s="160">
        <f t="shared" si="15"/>
        <v>56.555754548025256</v>
      </c>
      <c r="I106" s="160">
        <f t="shared" si="15"/>
        <v>58.252427184466015</v>
      </c>
      <c r="J106" s="190">
        <v>60</v>
      </c>
      <c r="K106" s="160">
        <v>70</v>
      </c>
      <c r="L106" s="160">
        <v>70</v>
      </c>
      <c r="M106" s="168">
        <f>(1+$C106)*L106</f>
        <v>72.10000000000001</v>
      </c>
      <c r="N106" s="168">
        <f t="shared" si="16"/>
        <v>74.263</v>
      </c>
      <c r="O106" s="168">
        <f t="shared" si="16"/>
        <v>76.49089000000001</v>
      </c>
      <c r="P106" s="537">
        <f t="shared" si="16"/>
        <v>78.7856167</v>
      </c>
      <c r="Q106" s="142" t="s">
        <v>109</v>
      </c>
    </row>
    <row r="107" spans="1:17" ht="15" customHeight="1">
      <c r="A107" s="348" t="s">
        <v>78</v>
      </c>
      <c r="B107" s="539">
        <v>0</v>
      </c>
      <c r="C107" s="539">
        <v>0</v>
      </c>
      <c r="D107" s="160">
        <f t="shared" si="15"/>
        <v>56</v>
      </c>
      <c r="E107" s="160">
        <f t="shared" si="15"/>
        <v>56</v>
      </c>
      <c r="F107" s="160">
        <f t="shared" si="15"/>
        <v>56</v>
      </c>
      <c r="G107" s="160">
        <f t="shared" si="15"/>
        <v>56</v>
      </c>
      <c r="H107" s="160">
        <f t="shared" si="15"/>
        <v>56</v>
      </c>
      <c r="I107" s="160">
        <f t="shared" si="15"/>
        <v>56</v>
      </c>
      <c r="J107" s="171">
        <v>56</v>
      </c>
      <c r="K107" s="160">
        <f t="shared" si="16"/>
        <v>56</v>
      </c>
      <c r="L107" s="160">
        <f t="shared" si="16"/>
        <v>56</v>
      </c>
      <c r="M107" s="168">
        <f t="shared" si="16"/>
        <v>56</v>
      </c>
      <c r="N107" s="168">
        <f t="shared" si="16"/>
        <v>56</v>
      </c>
      <c r="O107" s="168">
        <f t="shared" si="16"/>
        <v>56</v>
      </c>
      <c r="P107" s="537">
        <f t="shared" si="16"/>
        <v>56</v>
      </c>
      <c r="Q107" s="142" t="s">
        <v>143</v>
      </c>
    </row>
    <row r="108" spans="1:17" ht="15" customHeight="1">
      <c r="A108" s="348" t="s">
        <v>79</v>
      </c>
      <c r="B108" s="539">
        <v>0</v>
      </c>
      <c r="C108" s="539">
        <v>0</v>
      </c>
      <c r="D108" s="160">
        <f t="shared" si="15"/>
        <v>55</v>
      </c>
      <c r="E108" s="160">
        <f t="shared" si="15"/>
        <v>55</v>
      </c>
      <c r="F108" s="160">
        <f t="shared" si="15"/>
        <v>55</v>
      </c>
      <c r="G108" s="160">
        <f t="shared" si="15"/>
        <v>55</v>
      </c>
      <c r="H108" s="160">
        <f t="shared" si="15"/>
        <v>55</v>
      </c>
      <c r="I108" s="160">
        <f t="shared" si="15"/>
        <v>55</v>
      </c>
      <c r="J108" s="171">
        <v>55</v>
      </c>
      <c r="K108" s="160">
        <f t="shared" si="16"/>
        <v>55</v>
      </c>
      <c r="L108" s="160">
        <f t="shared" si="16"/>
        <v>55</v>
      </c>
      <c r="M108" s="168">
        <f t="shared" si="16"/>
        <v>55</v>
      </c>
      <c r="N108" s="168">
        <f t="shared" si="16"/>
        <v>55</v>
      </c>
      <c r="O108" s="168">
        <f t="shared" si="16"/>
        <v>55</v>
      </c>
      <c r="P108" s="537">
        <f t="shared" si="16"/>
        <v>55</v>
      </c>
      <c r="Q108" s="142" t="s">
        <v>144</v>
      </c>
    </row>
    <row r="109" spans="1:17" ht="15" customHeight="1">
      <c r="A109" s="348" t="s">
        <v>81</v>
      </c>
      <c r="B109" s="539">
        <v>-0.03</v>
      </c>
      <c r="C109" s="539">
        <v>-0.03</v>
      </c>
      <c r="D109" s="160">
        <f t="shared" si="15"/>
        <v>168.07287540465802</v>
      </c>
      <c r="E109" s="160">
        <f t="shared" si="15"/>
        <v>163.03068914251827</v>
      </c>
      <c r="F109" s="168">
        <f t="shared" si="15"/>
        <v>158.13976846824272</v>
      </c>
      <c r="G109" s="168">
        <f t="shared" si="15"/>
        <v>153.39557541419543</v>
      </c>
      <c r="H109" s="160">
        <f t="shared" si="15"/>
        <v>148.79370815176958</v>
      </c>
      <c r="I109" s="160">
        <f t="shared" si="15"/>
        <v>144.3298969072165</v>
      </c>
      <c r="J109" s="171">
        <v>140</v>
      </c>
      <c r="K109" s="160">
        <f t="shared" si="16"/>
        <v>135.79999999999998</v>
      </c>
      <c r="L109" s="160">
        <f t="shared" si="16"/>
        <v>131.72599999999997</v>
      </c>
      <c r="M109" s="168">
        <f t="shared" si="16"/>
        <v>127.77421999999997</v>
      </c>
      <c r="N109" s="168">
        <f t="shared" si="16"/>
        <v>123.94099339999997</v>
      </c>
      <c r="O109" s="168">
        <f t="shared" si="16"/>
        <v>120.22276359799997</v>
      </c>
      <c r="P109" s="537">
        <f t="shared" si="16"/>
        <v>116.61608069005997</v>
      </c>
      <c r="Q109" s="142" t="s">
        <v>145</v>
      </c>
    </row>
    <row r="110" spans="1:17" ht="15" customHeight="1">
      <c r="A110" s="348" t="s">
        <v>30</v>
      </c>
      <c r="B110" s="539">
        <v>0.1</v>
      </c>
      <c r="C110" s="539">
        <v>0.07</v>
      </c>
      <c r="D110" s="160">
        <f t="shared" si="15"/>
        <v>2.822369650268886</v>
      </c>
      <c r="E110" s="160">
        <f t="shared" si="15"/>
        <v>3.1046066152957748</v>
      </c>
      <c r="F110" s="160">
        <f t="shared" si="15"/>
        <v>3.4150672768253525</v>
      </c>
      <c r="G110" s="160">
        <f t="shared" si="15"/>
        <v>3.756574004507888</v>
      </c>
      <c r="H110" s="160">
        <f t="shared" si="15"/>
        <v>4.132231404958677</v>
      </c>
      <c r="I110" s="160">
        <f t="shared" si="15"/>
        <v>4.545454545454545</v>
      </c>
      <c r="J110" s="190">
        <v>5</v>
      </c>
      <c r="K110" s="160">
        <f t="shared" si="16"/>
        <v>5.3500000000000005</v>
      </c>
      <c r="L110" s="160">
        <f t="shared" si="16"/>
        <v>5.724500000000001</v>
      </c>
      <c r="M110" s="168">
        <f t="shared" si="16"/>
        <v>6.125215000000002</v>
      </c>
      <c r="N110" s="168">
        <f t="shared" si="16"/>
        <v>6.5539800500000025</v>
      </c>
      <c r="O110" s="168">
        <f t="shared" si="16"/>
        <v>7.012758653500003</v>
      </c>
      <c r="P110" s="537">
        <f t="shared" si="16"/>
        <v>7.503651759245004</v>
      </c>
      <c r="Q110" s="142" t="s">
        <v>146</v>
      </c>
    </row>
    <row r="111" spans="1:17" ht="15" customHeight="1">
      <c r="A111" s="348" t="s">
        <v>84</v>
      </c>
      <c r="B111" s="539">
        <v>0</v>
      </c>
      <c r="C111" s="539">
        <v>0</v>
      </c>
      <c r="D111" s="160">
        <f t="shared" si="15"/>
        <v>12</v>
      </c>
      <c r="E111" s="160">
        <f t="shared" si="15"/>
        <v>12</v>
      </c>
      <c r="F111" s="160">
        <f t="shared" si="15"/>
        <v>12</v>
      </c>
      <c r="G111" s="160">
        <f t="shared" si="15"/>
        <v>12</v>
      </c>
      <c r="H111" s="160">
        <f t="shared" si="15"/>
        <v>12</v>
      </c>
      <c r="I111" s="160">
        <f t="shared" si="15"/>
        <v>12</v>
      </c>
      <c r="J111" s="190">
        <v>12</v>
      </c>
      <c r="K111" s="160">
        <f t="shared" si="16"/>
        <v>12</v>
      </c>
      <c r="L111" s="160">
        <f t="shared" si="16"/>
        <v>12</v>
      </c>
      <c r="M111" s="168">
        <f t="shared" si="16"/>
        <v>12</v>
      </c>
      <c r="N111" s="168">
        <f t="shared" si="16"/>
        <v>12</v>
      </c>
      <c r="O111" s="168">
        <f t="shared" si="16"/>
        <v>12</v>
      </c>
      <c r="P111" s="537">
        <f t="shared" si="16"/>
        <v>12</v>
      </c>
      <c r="Q111" s="142" t="s">
        <v>147</v>
      </c>
    </row>
    <row r="112" spans="1:17" ht="15" customHeight="1">
      <c r="A112" s="348" t="s">
        <v>86</v>
      </c>
      <c r="B112" s="539">
        <v>0</v>
      </c>
      <c r="C112" s="539">
        <v>0</v>
      </c>
      <c r="D112" s="160">
        <f t="shared" si="15"/>
        <v>1</v>
      </c>
      <c r="E112" s="160">
        <f t="shared" si="15"/>
        <v>1</v>
      </c>
      <c r="F112" s="160">
        <f t="shared" si="15"/>
        <v>1</v>
      </c>
      <c r="G112" s="160">
        <f t="shared" si="15"/>
        <v>1</v>
      </c>
      <c r="H112" s="160">
        <f t="shared" si="15"/>
        <v>1</v>
      </c>
      <c r="I112" s="160">
        <f t="shared" si="15"/>
        <v>1</v>
      </c>
      <c r="J112" s="171">
        <v>1</v>
      </c>
      <c r="K112" s="160">
        <f t="shared" si="16"/>
        <v>1</v>
      </c>
      <c r="L112" s="160">
        <f t="shared" si="16"/>
        <v>1</v>
      </c>
      <c r="M112" s="168">
        <f t="shared" si="16"/>
        <v>1</v>
      </c>
      <c r="N112" s="168">
        <f t="shared" si="16"/>
        <v>1</v>
      </c>
      <c r="O112" s="168">
        <f t="shared" si="16"/>
        <v>1</v>
      </c>
      <c r="P112" s="537">
        <f t="shared" si="16"/>
        <v>1</v>
      </c>
      <c r="Q112" s="142" t="s">
        <v>148</v>
      </c>
    </row>
    <row r="113" spans="1:16" ht="15" customHeight="1">
      <c r="A113" s="540" t="s">
        <v>88</v>
      </c>
      <c r="B113" s="539">
        <v>0</v>
      </c>
      <c r="C113" s="539">
        <v>-0.05</v>
      </c>
      <c r="D113" s="160">
        <f t="shared" si="15"/>
        <v>8.76</v>
      </c>
      <c r="E113" s="160">
        <f t="shared" si="15"/>
        <v>8.76</v>
      </c>
      <c r="F113" s="168">
        <f t="shared" si="15"/>
        <v>8.76</v>
      </c>
      <c r="G113" s="168">
        <f t="shared" si="15"/>
        <v>8.76</v>
      </c>
      <c r="H113" s="168">
        <f t="shared" si="15"/>
        <v>8.76</v>
      </c>
      <c r="I113" s="168">
        <f t="shared" si="15"/>
        <v>8.76</v>
      </c>
      <c r="J113" s="171">
        <f>1*24*365/1000</f>
        <v>8.76</v>
      </c>
      <c r="K113" s="168">
        <f t="shared" si="16"/>
        <v>8.322</v>
      </c>
      <c r="L113" s="160">
        <f t="shared" si="16"/>
        <v>7.905899999999999</v>
      </c>
      <c r="M113" s="168">
        <f t="shared" si="16"/>
        <v>7.510604999999999</v>
      </c>
      <c r="N113" s="168">
        <f t="shared" si="16"/>
        <v>7.1350747499999985</v>
      </c>
      <c r="O113" s="168">
        <f t="shared" si="16"/>
        <v>6.778321012499998</v>
      </c>
      <c r="P113" s="537">
        <f t="shared" si="16"/>
        <v>6.439404961874998</v>
      </c>
    </row>
    <row r="114" spans="1:17" ht="15" customHeight="1">
      <c r="A114" s="348" t="s">
        <v>90</v>
      </c>
      <c r="B114" s="539">
        <v>-0.02</v>
      </c>
      <c r="C114" s="539">
        <v>0.03</v>
      </c>
      <c r="D114" s="160">
        <f t="shared" si="15"/>
        <v>242.70683435838927</v>
      </c>
      <c r="E114" s="160">
        <f t="shared" si="15"/>
        <v>237.85269767122148</v>
      </c>
      <c r="F114" s="160">
        <f t="shared" si="15"/>
        <v>233.09564371779703</v>
      </c>
      <c r="G114" s="193">
        <f t="shared" si="15"/>
        <v>228.43373084344108</v>
      </c>
      <c r="H114" s="193">
        <f t="shared" si="15"/>
        <v>223.86505622657225</v>
      </c>
      <c r="I114" s="193">
        <f>J114/(1+$B114)</f>
        <v>219.3877551020408</v>
      </c>
      <c r="J114" s="190">
        <v>215</v>
      </c>
      <c r="K114" s="160">
        <f t="shared" si="16"/>
        <v>221.45000000000002</v>
      </c>
      <c r="L114" s="160">
        <f t="shared" si="16"/>
        <v>228.09350000000003</v>
      </c>
      <c r="M114" s="168">
        <f>(1+$C114)*L114</f>
        <v>234.93630500000003</v>
      </c>
      <c r="N114" s="168">
        <f t="shared" si="16"/>
        <v>241.98439415000004</v>
      </c>
      <c r="O114" s="168">
        <f t="shared" si="16"/>
        <v>249.24392597450006</v>
      </c>
      <c r="P114" s="537">
        <f t="shared" si="16"/>
        <v>256.72124375373505</v>
      </c>
      <c r="Q114" s="142" t="s">
        <v>149</v>
      </c>
    </row>
    <row r="115" spans="1:17" ht="15" customHeight="1">
      <c r="A115" s="348" t="s">
        <v>92</v>
      </c>
      <c r="B115" s="539">
        <v>0</v>
      </c>
      <c r="C115" s="539">
        <v>0</v>
      </c>
      <c r="D115" s="160">
        <f t="shared" si="15"/>
        <v>40</v>
      </c>
      <c r="E115" s="160">
        <f t="shared" si="15"/>
        <v>40</v>
      </c>
      <c r="F115" s="160">
        <f t="shared" si="15"/>
        <v>40</v>
      </c>
      <c r="G115" s="160">
        <f t="shared" si="15"/>
        <v>40</v>
      </c>
      <c r="H115" s="160">
        <f t="shared" si="15"/>
        <v>40</v>
      </c>
      <c r="I115" s="160">
        <f t="shared" si="15"/>
        <v>40</v>
      </c>
      <c r="J115" s="171">
        <v>40</v>
      </c>
      <c r="K115" s="160">
        <f t="shared" si="16"/>
        <v>40</v>
      </c>
      <c r="L115" s="160">
        <f t="shared" si="16"/>
        <v>40</v>
      </c>
      <c r="M115" s="168">
        <f t="shared" si="16"/>
        <v>40</v>
      </c>
      <c r="N115" s="168">
        <f t="shared" si="16"/>
        <v>40</v>
      </c>
      <c r="O115" s="168">
        <f t="shared" si="16"/>
        <v>40</v>
      </c>
      <c r="P115" s="537">
        <f t="shared" si="16"/>
        <v>40</v>
      </c>
      <c r="Q115" s="142" t="s">
        <v>150</v>
      </c>
    </row>
    <row r="116" spans="1:17" ht="15" customHeight="1">
      <c r="A116" s="348" t="s">
        <v>94</v>
      </c>
      <c r="B116" s="539">
        <v>0</v>
      </c>
      <c r="C116" s="539">
        <v>0</v>
      </c>
      <c r="D116" s="160">
        <f t="shared" si="15"/>
        <v>170</v>
      </c>
      <c r="E116" s="160">
        <f t="shared" si="15"/>
        <v>170</v>
      </c>
      <c r="F116" s="160">
        <f t="shared" si="15"/>
        <v>170</v>
      </c>
      <c r="G116" s="160">
        <f t="shared" si="15"/>
        <v>170</v>
      </c>
      <c r="H116" s="160">
        <f t="shared" si="15"/>
        <v>170</v>
      </c>
      <c r="I116" s="160">
        <f t="shared" si="15"/>
        <v>170</v>
      </c>
      <c r="J116" s="171">
        <v>170</v>
      </c>
      <c r="K116" s="160">
        <f t="shared" si="16"/>
        <v>170</v>
      </c>
      <c r="L116" s="160">
        <f t="shared" si="16"/>
        <v>170</v>
      </c>
      <c r="M116" s="168">
        <f t="shared" si="16"/>
        <v>170</v>
      </c>
      <c r="N116" s="168">
        <f t="shared" si="16"/>
        <v>170</v>
      </c>
      <c r="O116" s="168">
        <f t="shared" si="16"/>
        <v>170</v>
      </c>
      <c r="P116" s="537">
        <f t="shared" si="16"/>
        <v>170</v>
      </c>
      <c r="Q116" s="142" t="s">
        <v>151</v>
      </c>
    </row>
    <row r="117" spans="1:17" ht="15" customHeight="1">
      <c r="A117" s="348" t="s">
        <v>96</v>
      </c>
      <c r="B117" s="539">
        <v>0</v>
      </c>
      <c r="C117" s="539">
        <v>0</v>
      </c>
      <c r="D117" s="160">
        <f t="shared" si="15"/>
        <v>8</v>
      </c>
      <c r="E117" s="160">
        <f t="shared" si="15"/>
        <v>8</v>
      </c>
      <c r="F117" s="160">
        <f t="shared" si="15"/>
        <v>8</v>
      </c>
      <c r="G117" s="160">
        <f t="shared" si="15"/>
        <v>8</v>
      </c>
      <c r="H117" s="160">
        <f t="shared" si="15"/>
        <v>8</v>
      </c>
      <c r="I117" s="160">
        <f t="shared" si="15"/>
        <v>8</v>
      </c>
      <c r="J117" s="171">
        <v>8</v>
      </c>
      <c r="K117" s="160">
        <f t="shared" si="16"/>
        <v>8</v>
      </c>
      <c r="L117" s="160">
        <f t="shared" si="16"/>
        <v>8</v>
      </c>
      <c r="M117" s="168">
        <f t="shared" si="16"/>
        <v>8</v>
      </c>
      <c r="N117" s="168">
        <f t="shared" si="16"/>
        <v>8</v>
      </c>
      <c r="O117" s="168">
        <f t="shared" si="16"/>
        <v>8</v>
      </c>
      <c r="P117" s="537">
        <f t="shared" si="16"/>
        <v>8</v>
      </c>
      <c r="Q117" s="142" t="s">
        <v>152</v>
      </c>
    </row>
    <row r="118" spans="1:17" ht="15" customHeight="1">
      <c r="A118" s="157" t="s">
        <v>5</v>
      </c>
      <c r="B118" s="539">
        <v>0</v>
      </c>
      <c r="C118" s="539">
        <v>0.02</v>
      </c>
      <c r="D118" s="160">
        <f t="shared" si="15"/>
        <v>2</v>
      </c>
      <c r="E118" s="160">
        <f t="shared" si="15"/>
        <v>2</v>
      </c>
      <c r="F118" s="160">
        <f t="shared" si="15"/>
        <v>2</v>
      </c>
      <c r="G118" s="160">
        <f t="shared" si="15"/>
        <v>2</v>
      </c>
      <c r="H118" s="160">
        <f t="shared" si="15"/>
        <v>2</v>
      </c>
      <c r="I118" s="160">
        <f t="shared" si="15"/>
        <v>2</v>
      </c>
      <c r="J118" s="171">
        <v>2</v>
      </c>
      <c r="K118" s="160">
        <f t="shared" si="16"/>
        <v>2.04</v>
      </c>
      <c r="L118" s="168">
        <f t="shared" si="16"/>
        <v>2.0808</v>
      </c>
      <c r="M118" s="168">
        <f t="shared" si="16"/>
        <v>2.122416</v>
      </c>
      <c r="N118" s="168">
        <f t="shared" si="16"/>
        <v>2.16486432</v>
      </c>
      <c r="O118" s="168">
        <f t="shared" si="16"/>
        <v>2.2081616064</v>
      </c>
      <c r="P118" s="168">
        <f t="shared" si="16"/>
        <v>2.252324838528</v>
      </c>
      <c r="Q118" s="142" t="s">
        <v>153</v>
      </c>
    </row>
    <row r="119" spans="1:17" ht="15" customHeight="1">
      <c r="A119" s="157" t="s">
        <v>33</v>
      </c>
      <c r="B119" s="539">
        <v>0</v>
      </c>
      <c r="C119" s="539">
        <v>0.02</v>
      </c>
      <c r="D119" s="160">
        <f t="shared" si="15"/>
        <v>44</v>
      </c>
      <c r="E119" s="160">
        <f t="shared" si="15"/>
        <v>44</v>
      </c>
      <c r="F119" s="160">
        <f t="shared" si="15"/>
        <v>44</v>
      </c>
      <c r="G119" s="160">
        <f t="shared" si="15"/>
        <v>44</v>
      </c>
      <c r="H119" s="160">
        <f t="shared" si="15"/>
        <v>44</v>
      </c>
      <c r="I119" s="160">
        <f t="shared" si="15"/>
        <v>44</v>
      </c>
      <c r="J119" s="171">
        <v>44</v>
      </c>
      <c r="K119" s="160">
        <f t="shared" si="16"/>
        <v>44.88</v>
      </c>
      <c r="L119" s="168">
        <f t="shared" si="16"/>
        <v>45.77760000000001</v>
      </c>
      <c r="M119" s="168">
        <f t="shared" si="16"/>
        <v>46.693152000000005</v>
      </c>
      <c r="N119" s="168">
        <f t="shared" si="16"/>
        <v>47.62701504</v>
      </c>
      <c r="O119" s="168">
        <f t="shared" si="16"/>
        <v>48.579555340800006</v>
      </c>
      <c r="P119" s="168">
        <f t="shared" si="16"/>
        <v>49.551146447616006</v>
      </c>
      <c r="Q119" s="142" t="s">
        <v>154</v>
      </c>
    </row>
    <row r="120" spans="1:17" ht="15" customHeight="1">
      <c r="A120" s="157" t="s">
        <v>101</v>
      </c>
      <c r="B120" s="539">
        <v>0.03</v>
      </c>
      <c r="C120" s="539">
        <v>0.03</v>
      </c>
      <c r="D120" s="160">
        <f t="shared" si="15"/>
        <v>1256.2263850254812</v>
      </c>
      <c r="E120" s="160">
        <f t="shared" si="15"/>
        <v>1293.9131765762456</v>
      </c>
      <c r="F120" s="160">
        <f t="shared" si="15"/>
        <v>1332.730571873533</v>
      </c>
      <c r="G120" s="160">
        <f t="shared" si="15"/>
        <v>1372.7124890297391</v>
      </c>
      <c r="H120" s="160">
        <f t="shared" si="15"/>
        <v>1413.8938637006313</v>
      </c>
      <c r="I120" s="160">
        <f t="shared" si="15"/>
        <v>1456.3106796116504</v>
      </c>
      <c r="J120" s="171">
        <v>1500</v>
      </c>
      <c r="K120" s="160">
        <f t="shared" si="16"/>
        <v>1545</v>
      </c>
      <c r="L120" s="168">
        <f t="shared" si="16"/>
        <v>1591.3500000000001</v>
      </c>
      <c r="M120" s="168">
        <f t="shared" si="16"/>
        <v>1639.0905000000002</v>
      </c>
      <c r="N120" s="168">
        <f t="shared" si="16"/>
        <v>1688.2632150000004</v>
      </c>
      <c r="O120" s="168">
        <f t="shared" si="16"/>
        <v>1738.9111114500004</v>
      </c>
      <c r="P120" s="168">
        <f t="shared" si="16"/>
        <v>1791.0784447935005</v>
      </c>
      <c r="Q120" s="142" t="s">
        <v>150</v>
      </c>
    </row>
    <row r="121" spans="1:17" ht="15" customHeight="1">
      <c r="A121" s="157" t="s">
        <v>16</v>
      </c>
      <c r="B121" s="539">
        <v>0</v>
      </c>
      <c r="C121" s="539">
        <v>0</v>
      </c>
      <c r="D121" s="160">
        <f t="shared" si="15"/>
        <v>26.28</v>
      </c>
      <c r="E121" s="160">
        <f t="shared" si="15"/>
        <v>26.28</v>
      </c>
      <c r="F121" s="160">
        <f t="shared" si="15"/>
        <v>26.28</v>
      </c>
      <c r="G121" s="160">
        <f t="shared" si="15"/>
        <v>26.28</v>
      </c>
      <c r="H121" s="160">
        <f t="shared" si="15"/>
        <v>26.28</v>
      </c>
      <c r="I121" s="160">
        <f t="shared" si="15"/>
        <v>26.28</v>
      </c>
      <c r="J121" s="171">
        <f>3*365*24/1000</f>
        <v>26.28</v>
      </c>
      <c r="K121" s="160">
        <f t="shared" si="16"/>
        <v>26.28</v>
      </c>
      <c r="L121" s="168">
        <f t="shared" si="16"/>
        <v>26.28</v>
      </c>
      <c r="M121" s="168">
        <f t="shared" si="16"/>
        <v>26.28</v>
      </c>
      <c r="N121" s="168">
        <f t="shared" si="16"/>
        <v>26.28</v>
      </c>
      <c r="O121" s="168">
        <f t="shared" si="16"/>
        <v>26.28</v>
      </c>
      <c r="P121" s="168">
        <f t="shared" si="16"/>
        <v>26.28</v>
      </c>
      <c r="Q121" s="142" t="s">
        <v>155</v>
      </c>
    </row>
    <row r="122" spans="1:16" ht="15" customHeight="1">
      <c r="A122" s="236"/>
      <c r="B122" s="237"/>
      <c r="C122" s="237"/>
      <c r="D122" s="238"/>
      <c r="E122" s="238"/>
      <c r="F122" s="238"/>
      <c r="G122" s="238"/>
      <c r="H122" s="238"/>
      <c r="I122" s="238"/>
      <c r="J122" s="239"/>
      <c r="K122" s="238"/>
      <c r="L122" s="240"/>
      <c r="M122" s="240"/>
      <c r="N122" s="240"/>
      <c r="O122" s="240"/>
      <c r="P122" s="240"/>
    </row>
    <row r="123" spans="1:16" ht="15" customHeight="1">
      <c r="A123" s="236"/>
      <c r="B123" s="237"/>
      <c r="C123" s="237"/>
      <c r="D123" s="238"/>
      <c r="E123" s="238"/>
      <c r="F123" s="238"/>
      <c r="G123" s="238"/>
      <c r="H123" s="238"/>
      <c r="I123" s="238"/>
      <c r="J123" s="239"/>
      <c r="K123" s="238"/>
      <c r="L123" s="240"/>
      <c r="M123" s="240"/>
      <c r="N123" s="240"/>
      <c r="O123" s="240"/>
      <c r="P123" s="240"/>
    </row>
    <row r="124" spans="1:16" ht="15" customHeight="1">
      <c r="A124" s="236"/>
      <c r="B124" s="237"/>
      <c r="C124" s="237"/>
      <c r="D124" s="238"/>
      <c r="E124" s="238"/>
      <c r="F124" s="238"/>
      <c r="G124" s="238"/>
      <c r="H124" s="238"/>
      <c r="I124" s="238"/>
      <c r="J124" s="239"/>
      <c r="K124" s="238"/>
      <c r="L124" s="240"/>
      <c r="M124" s="240"/>
      <c r="N124" s="240"/>
      <c r="O124" s="240"/>
      <c r="P124" s="240"/>
    </row>
    <row r="125" spans="1:16" ht="15" customHeight="1">
      <c r="A125" s="242"/>
      <c r="B125" s="242"/>
      <c r="C125" s="242"/>
      <c r="D125" s="242"/>
      <c r="E125" s="242"/>
      <c r="F125" s="242"/>
      <c r="G125" s="242"/>
      <c r="H125" s="242"/>
      <c r="I125" s="242"/>
      <c r="J125" s="242"/>
      <c r="K125" s="242"/>
      <c r="L125" s="242"/>
      <c r="M125" s="242"/>
      <c r="N125" s="242"/>
      <c r="O125" s="242"/>
      <c r="P125" s="242"/>
    </row>
    <row r="126" spans="1:16" ht="15" customHeight="1">
      <c r="A126" s="207"/>
      <c r="B126" s="207"/>
      <c r="C126" s="207"/>
      <c r="D126" s="142"/>
      <c r="E126" s="142"/>
      <c r="F126" s="142"/>
      <c r="G126" s="142"/>
      <c r="H126" s="142"/>
      <c r="I126" s="142"/>
      <c r="J126" s="142"/>
      <c r="K126" s="208"/>
      <c r="L126" s="208"/>
      <c r="M126" s="208"/>
      <c r="N126" s="208"/>
      <c r="O126" s="208"/>
      <c r="P126" s="208"/>
    </row>
    <row r="127" spans="1:16" ht="15" customHeight="1">
      <c r="A127" s="207"/>
      <c r="B127" s="207"/>
      <c r="C127" s="207"/>
      <c r="D127" s="142"/>
      <c r="E127" s="142"/>
      <c r="F127" s="142"/>
      <c r="G127" s="142"/>
      <c r="H127" s="142"/>
      <c r="I127" s="142"/>
      <c r="J127" s="142"/>
      <c r="K127" s="208"/>
      <c r="L127" s="208"/>
      <c r="M127" s="208"/>
      <c r="N127" s="208"/>
      <c r="O127" s="208"/>
      <c r="P127" s="208"/>
    </row>
    <row r="128" spans="1:16" ht="30" customHeight="1">
      <c r="A128" s="530" t="s">
        <v>156</v>
      </c>
      <c r="B128" s="331" t="s">
        <v>354</v>
      </c>
      <c r="C128" s="331" t="s">
        <v>366</v>
      </c>
      <c r="D128" s="331">
        <v>2013</v>
      </c>
      <c r="E128" s="331">
        <v>2014</v>
      </c>
      <c r="F128" s="331">
        <v>2015</v>
      </c>
      <c r="G128" s="331">
        <v>2016</v>
      </c>
      <c r="H128" s="331">
        <v>2017</v>
      </c>
      <c r="I128" s="331">
        <v>2018</v>
      </c>
      <c r="J128" s="331">
        <v>2019</v>
      </c>
      <c r="K128" s="331">
        <v>2020</v>
      </c>
      <c r="L128" s="331">
        <v>2021</v>
      </c>
      <c r="M128" s="331">
        <v>2022</v>
      </c>
      <c r="N128" s="331">
        <v>2023</v>
      </c>
      <c r="O128" s="331">
        <v>2024</v>
      </c>
      <c r="P128" s="332">
        <v>2025</v>
      </c>
    </row>
    <row r="129" spans="1:20" ht="15" customHeight="1">
      <c r="A129" s="348" t="s">
        <v>158</v>
      </c>
      <c r="B129" s="539"/>
      <c r="C129" s="427">
        <v>0.18</v>
      </c>
      <c r="D129" s="245">
        <v>342.72</v>
      </c>
      <c r="E129" s="245">
        <v>388.8</v>
      </c>
      <c r="F129" s="245">
        <v>506.48275862068965</v>
      </c>
      <c r="G129" s="245">
        <v>587.52</v>
      </c>
      <c r="H129" s="246">
        <v>702</v>
      </c>
      <c r="I129" s="168">
        <f>H129*1.15</f>
        <v>807.3</v>
      </c>
      <c r="J129" s="168">
        <f>I129*1.15</f>
        <v>928.3949999999999</v>
      </c>
      <c r="K129" s="160">
        <f t="shared" si="16"/>
        <v>1095.5060999999998</v>
      </c>
      <c r="L129" s="160">
        <f t="shared" si="16"/>
        <v>1292.6971979999998</v>
      </c>
      <c r="M129" s="171">
        <f t="shared" si="16"/>
        <v>1525.3826936399998</v>
      </c>
      <c r="N129" s="543">
        <f t="shared" si="16"/>
        <v>1799.9515784951998</v>
      </c>
      <c r="O129" s="543">
        <f t="shared" si="16"/>
        <v>2123.9428626243357</v>
      </c>
      <c r="P129" s="544">
        <f t="shared" si="16"/>
        <v>2506.252577896716</v>
      </c>
      <c r="Q129" s="142"/>
      <c r="R129" s="142"/>
      <c r="S129" s="208"/>
      <c r="T129" s="142"/>
    </row>
    <row r="130" spans="1:20" ht="15" customHeight="1">
      <c r="A130" s="348" t="s">
        <v>161</v>
      </c>
      <c r="B130" s="539"/>
      <c r="C130" s="427">
        <v>0.35</v>
      </c>
      <c r="D130" s="168">
        <v>250.92</v>
      </c>
      <c r="E130" s="168">
        <v>302.4</v>
      </c>
      <c r="F130" s="168">
        <v>403.2</v>
      </c>
      <c r="G130" s="168">
        <v>483.84</v>
      </c>
      <c r="H130" s="190">
        <v>629</v>
      </c>
      <c r="I130" s="168">
        <f>H130*1.31</f>
        <v>823.99</v>
      </c>
      <c r="J130" s="168">
        <f>I130*1.31</f>
        <v>1079.4269000000002</v>
      </c>
      <c r="K130" s="168">
        <f t="shared" si="16"/>
        <v>1457.2263150000003</v>
      </c>
      <c r="L130" s="160">
        <f t="shared" si="16"/>
        <v>1967.2555252500006</v>
      </c>
      <c r="M130" s="171">
        <f t="shared" si="16"/>
        <v>2655.794959087501</v>
      </c>
      <c r="N130" s="543">
        <f t="shared" si="16"/>
        <v>3585.3231947681265</v>
      </c>
      <c r="O130" s="543">
        <f t="shared" si="16"/>
        <v>4840.186312936971</v>
      </c>
      <c r="P130" s="544">
        <f t="shared" si="16"/>
        <v>6534.251522464911</v>
      </c>
      <c r="Q130" s="142"/>
      <c r="R130" s="142"/>
      <c r="S130" s="142"/>
      <c r="T130" s="142"/>
    </row>
    <row r="131" spans="1:20" ht="15" customHeight="1">
      <c r="A131" s="348" t="s">
        <v>163</v>
      </c>
      <c r="B131" s="539"/>
      <c r="C131" s="427"/>
      <c r="D131" s="168">
        <f>SUM(D129:D130)</f>
        <v>593.64</v>
      </c>
      <c r="E131" s="168">
        <f>SUM(E129:E130)</f>
        <v>691.2</v>
      </c>
      <c r="F131" s="168">
        <f>SUM(F129:F130)</f>
        <v>909.6827586206896</v>
      </c>
      <c r="G131" s="168">
        <f>SUM(G129:G130)</f>
        <v>1071.36</v>
      </c>
      <c r="H131" s="168">
        <f>SUM(H129:H130)</f>
        <v>1331</v>
      </c>
      <c r="I131" s="168">
        <f aca="true" t="shared" si="17" ref="I131:P131">SUM(I129:I130)</f>
        <v>1631.29</v>
      </c>
      <c r="J131" s="168">
        <f t="shared" si="17"/>
        <v>2007.8219</v>
      </c>
      <c r="K131" s="160">
        <f t="shared" si="17"/>
        <v>2552.7324150000004</v>
      </c>
      <c r="L131" s="160">
        <f t="shared" si="17"/>
        <v>3259.9527232500004</v>
      </c>
      <c r="M131" s="160">
        <f t="shared" si="17"/>
        <v>4181.177652727501</v>
      </c>
      <c r="N131" s="160">
        <f t="shared" si="17"/>
        <v>5385.274773263326</v>
      </c>
      <c r="O131" s="160">
        <f t="shared" si="17"/>
        <v>6964.129175561307</v>
      </c>
      <c r="P131" s="531">
        <f t="shared" si="17"/>
        <v>9040.504100361628</v>
      </c>
      <c r="T131" s="142"/>
    </row>
    <row r="132" spans="1:20" ht="15" customHeight="1">
      <c r="A132" s="348" t="s">
        <v>165</v>
      </c>
      <c r="B132" s="539">
        <v>0.66</v>
      </c>
      <c r="C132" s="427">
        <v>0.5</v>
      </c>
      <c r="D132" s="168">
        <v>16</v>
      </c>
      <c r="E132" s="168">
        <v>28.799999999999955</v>
      </c>
      <c r="F132" s="168">
        <v>58.9041095890411</v>
      </c>
      <c r="G132" s="168">
        <v>86</v>
      </c>
      <c r="H132" s="168">
        <v>133</v>
      </c>
      <c r="I132" s="168">
        <f>19*12</f>
        <v>228</v>
      </c>
      <c r="J132" s="168">
        <f>29*12</f>
        <v>348</v>
      </c>
      <c r="K132" s="160">
        <f aca="true" t="shared" si="18" ref="K132:P132">(1+$C132)*J132</f>
        <v>522</v>
      </c>
      <c r="L132" s="160">
        <f t="shared" si="18"/>
        <v>783</v>
      </c>
      <c r="M132" s="160">
        <f t="shared" si="18"/>
        <v>1174.5</v>
      </c>
      <c r="N132" s="160">
        <f t="shared" si="18"/>
        <v>1761.75</v>
      </c>
      <c r="O132" s="160">
        <f t="shared" si="18"/>
        <v>2642.625</v>
      </c>
      <c r="P132" s="531">
        <f t="shared" si="18"/>
        <v>3963.9375</v>
      </c>
      <c r="Q132" s="142" t="s">
        <v>355</v>
      </c>
      <c r="R132" s="160"/>
      <c r="S132" s="142"/>
      <c r="T132" s="142"/>
    </row>
    <row r="133" spans="1:16" ht="15" customHeight="1">
      <c r="A133" s="348" t="s">
        <v>166</v>
      </c>
      <c r="B133" s="539"/>
      <c r="C133" s="427"/>
      <c r="D133" s="168">
        <f aca="true" t="shared" si="19" ref="D133:P133">SUM(D131:D132)</f>
        <v>609.64</v>
      </c>
      <c r="E133" s="168">
        <f t="shared" si="19"/>
        <v>720</v>
      </c>
      <c r="F133" s="168">
        <f t="shared" si="19"/>
        <v>968.5868682097307</v>
      </c>
      <c r="G133" s="168">
        <f t="shared" si="19"/>
        <v>1157.36</v>
      </c>
      <c r="H133" s="168">
        <f t="shared" si="19"/>
        <v>1464</v>
      </c>
      <c r="I133" s="168">
        <f t="shared" si="19"/>
        <v>1859.29</v>
      </c>
      <c r="J133" s="168">
        <f t="shared" si="19"/>
        <v>2355.8219</v>
      </c>
      <c r="K133" s="160">
        <f t="shared" si="19"/>
        <v>3074.7324150000004</v>
      </c>
      <c r="L133" s="160">
        <f t="shared" si="19"/>
        <v>4042.9527232500004</v>
      </c>
      <c r="M133" s="160">
        <f t="shared" si="19"/>
        <v>5355.677652727501</v>
      </c>
      <c r="N133" s="160">
        <f t="shared" si="19"/>
        <v>7147.024773263326</v>
      </c>
      <c r="O133" s="160">
        <f t="shared" si="19"/>
        <v>9606.754175561307</v>
      </c>
      <c r="P133" s="531">
        <f t="shared" si="19"/>
        <v>13004.441600361628</v>
      </c>
    </row>
    <row r="134" spans="1:16" ht="15" customHeight="1">
      <c r="A134" s="348" t="s">
        <v>167</v>
      </c>
      <c r="B134" s="539"/>
      <c r="C134" s="427">
        <v>0.34</v>
      </c>
      <c r="D134" s="168">
        <f aca="true" t="shared" si="20" ref="D134:J135">D200</f>
        <v>698.0325120000001</v>
      </c>
      <c r="E134" s="168">
        <f aca="true" t="shared" si="21" ref="E134:J134">E200</f>
        <v>1008.032</v>
      </c>
      <c r="F134" s="168">
        <f t="shared" si="21"/>
        <v>1598.0000000000002</v>
      </c>
      <c r="G134" s="168">
        <f t="shared" si="21"/>
        <v>2652</v>
      </c>
      <c r="H134" s="168">
        <f t="shared" si="21"/>
        <v>3800.9790000000003</v>
      </c>
      <c r="I134" s="168">
        <f t="shared" si="21"/>
        <v>5189.213484</v>
      </c>
      <c r="J134" s="168">
        <f t="shared" si="21"/>
        <v>6755.416529588999</v>
      </c>
      <c r="K134" s="160">
        <f aca="true" t="shared" si="22" ref="K134:P135">(1+$C134)*J134</f>
        <v>9052.258149649258</v>
      </c>
      <c r="L134" s="160">
        <f t="shared" si="22"/>
        <v>12130.025920530006</v>
      </c>
      <c r="M134" s="263">
        <f t="shared" si="22"/>
        <v>16254.23473351021</v>
      </c>
      <c r="N134" s="263">
        <f t="shared" si="22"/>
        <v>21780.674542903682</v>
      </c>
      <c r="O134" s="263">
        <f t="shared" si="22"/>
        <v>29186.103887490935</v>
      </c>
      <c r="P134" s="336">
        <f t="shared" si="22"/>
        <v>39109.37920923786</v>
      </c>
    </row>
    <row r="135" spans="1:16" ht="15" customHeight="1">
      <c r="A135" s="348" t="s">
        <v>168</v>
      </c>
      <c r="B135" s="539"/>
      <c r="C135" s="427">
        <v>0.16</v>
      </c>
      <c r="D135" s="168">
        <f t="shared" si="20"/>
        <v>2001.9674879999998</v>
      </c>
      <c r="E135" s="168">
        <f t="shared" si="20"/>
        <v>2391.968</v>
      </c>
      <c r="F135" s="168">
        <f t="shared" si="20"/>
        <v>3102</v>
      </c>
      <c r="G135" s="168">
        <f t="shared" si="20"/>
        <v>4148</v>
      </c>
      <c r="H135" s="168">
        <f t="shared" si="20"/>
        <v>5299.021</v>
      </c>
      <c r="I135" s="168">
        <f t="shared" si="20"/>
        <v>6410.786516</v>
      </c>
      <c r="J135" s="168">
        <f t="shared" si="20"/>
        <v>7344.583470411001</v>
      </c>
      <c r="K135" s="160">
        <f t="shared" si="22"/>
        <v>8519.71682567676</v>
      </c>
      <c r="L135" s="160">
        <f t="shared" si="22"/>
        <v>9882.87151778504</v>
      </c>
      <c r="M135" s="263">
        <f t="shared" si="22"/>
        <v>11464.130960630646</v>
      </c>
      <c r="N135" s="263">
        <f t="shared" si="22"/>
        <v>13298.391914331549</v>
      </c>
      <c r="O135" s="263">
        <f t="shared" si="22"/>
        <v>15426.134620624596</v>
      </c>
      <c r="P135" s="336">
        <f t="shared" si="22"/>
        <v>17894.31615992453</v>
      </c>
    </row>
    <row r="136" spans="1:20" ht="15" customHeight="1">
      <c r="A136" s="533" t="s">
        <v>169</v>
      </c>
      <c r="B136" s="545"/>
      <c r="C136" s="546"/>
      <c r="D136" s="535">
        <f aca="true" t="shared" si="23" ref="D136:P136">SUM(D134:D135)</f>
        <v>2700</v>
      </c>
      <c r="E136" s="535">
        <f t="shared" si="23"/>
        <v>3400</v>
      </c>
      <c r="F136" s="535">
        <f t="shared" si="23"/>
        <v>4700</v>
      </c>
      <c r="G136" s="535">
        <f t="shared" si="23"/>
        <v>6800</v>
      </c>
      <c r="H136" s="547">
        <f t="shared" si="23"/>
        <v>9100</v>
      </c>
      <c r="I136" s="535">
        <f t="shared" si="23"/>
        <v>11600</v>
      </c>
      <c r="J136" s="535">
        <f t="shared" si="23"/>
        <v>14100</v>
      </c>
      <c r="K136" s="334">
        <f t="shared" si="23"/>
        <v>17571.97497532602</v>
      </c>
      <c r="L136" s="334">
        <f t="shared" si="23"/>
        <v>22012.89743831505</v>
      </c>
      <c r="M136" s="334">
        <f t="shared" si="23"/>
        <v>27718.365694140855</v>
      </c>
      <c r="N136" s="548">
        <f t="shared" si="23"/>
        <v>35079.06645723523</v>
      </c>
      <c r="O136" s="548">
        <f t="shared" si="23"/>
        <v>44612.23850811553</v>
      </c>
      <c r="P136" s="549">
        <f t="shared" si="23"/>
        <v>57003.695369162386</v>
      </c>
      <c r="Q136" s="326"/>
      <c r="R136" s="326"/>
      <c r="S136" s="326"/>
      <c r="T136" s="142"/>
    </row>
    <row r="137" spans="1:16" ht="15" customHeight="1">
      <c r="A137" s="223"/>
      <c r="B137" s="223"/>
      <c r="C137" s="223"/>
      <c r="P137" s="142">
        <f>P134/P136</f>
        <v>0.6860849802098108</v>
      </c>
    </row>
    <row r="138" spans="1:3" ht="15" customHeight="1">
      <c r="A138" s="223"/>
      <c r="B138" s="223"/>
      <c r="C138" s="223"/>
    </row>
    <row r="139" spans="1:16" ht="30" customHeight="1">
      <c r="A139" s="530" t="s">
        <v>170</v>
      </c>
      <c r="B139" s="331" t="s">
        <v>354</v>
      </c>
      <c r="C139" s="331" t="s">
        <v>366</v>
      </c>
      <c r="D139" s="331">
        <v>2013</v>
      </c>
      <c r="E139" s="331">
        <v>2014</v>
      </c>
      <c r="F139" s="331">
        <v>2015</v>
      </c>
      <c r="G139" s="331">
        <v>2016</v>
      </c>
      <c r="H139" s="331">
        <v>2017</v>
      </c>
      <c r="I139" s="331">
        <v>2018</v>
      </c>
      <c r="J139" s="331">
        <v>2019</v>
      </c>
      <c r="K139" s="331">
        <v>2020</v>
      </c>
      <c r="L139" s="331">
        <v>2021</v>
      </c>
      <c r="M139" s="331">
        <v>2022</v>
      </c>
      <c r="N139" s="331">
        <v>2023</v>
      </c>
      <c r="O139" s="331">
        <v>2024</v>
      </c>
      <c r="P139" s="332">
        <v>2025</v>
      </c>
    </row>
    <row r="140" spans="1:20" ht="15" customHeight="1">
      <c r="A140" s="348" t="s">
        <v>158</v>
      </c>
      <c r="B140" s="539">
        <v>-0.25</v>
      </c>
      <c r="C140" s="539">
        <v>-0.22</v>
      </c>
      <c r="D140" s="166">
        <f aca="true" t="shared" si="24" ref="D140:I144">E140/(1+$B140)</f>
        <v>0.39330589849108377</v>
      </c>
      <c r="E140" s="166">
        <f t="shared" si="24"/>
        <v>0.29497942386831283</v>
      </c>
      <c r="F140" s="166">
        <f t="shared" si="24"/>
        <v>0.2212345679012346</v>
      </c>
      <c r="G140" s="166">
        <f t="shared" si="24"/>
        <v>0.16592592592592595</v>
      </c>
      <c r="H140" s="166">
        <f t="shared" si="24"/>
        <v>0.12444444444444445</v>
      </c>
      <c r="I140" s="166">
        <f t="shared" si="24"/>
        <v>0.09333333333333334</v>
      </c>
      <c r="J140" s="283">
        <v>0.07</v>
      </c>
      <c r="K140" s="166">
        <f aca="true" t="shared" si="25" ref="K140:P144">(1+$C140)*J140</f>
        <v>0.05460000000000001</v>
      </c>
      <c r="L140" s="166">
        <f t="shared" si="25"/>
        <v>0.04258800000000001</v>
      </c>
      <c r="M140" s="166">
        <f t="shared" si="25"/>
        <v>0.03321864000000001</v>
      </c>
      <c r="N140" s="166">
        <f t="shared" si="25"/>
        <v>0.025910539200000006</v>
      </c>
      <c r="O140" s="166">
        <f t="shared" si="25"/>
        <v>0.020210220576000006</v>
      </c>
      <c r="P140" s="532">
        <f t="shared" si="25"/>
        <v>0.015763972049280005</v>
      </c>
      <c r="Q140" s="173">
        <f aca="true" t="shared" si="26" ref="Q140:Q144">P140/J140</f>
        <v>0.22519960070400005</v>
      </c>
      <c r="R140" s="321">
        <f>POWER(0.91,6)</f>
        <v>0.5678692520410001</v>
      </c>
      <c r="S140" s="321"/>
      <c r="T140" s="321"/>
    </row>
    <row r="141" spans="1:20" ht="15" customHeight="1">
      <c r="A141" s="348" t="s">
        <v>161</v>
      </c>
      <c r="B141" s="539">
        <v>-0.25</v>
      </c>
      <c r="C141" s="539">
        <v>-0.22</v>
      </c>
      <c r="D141" s="166">
        <f t="shared" si="24"/>
        <v>0.39330589849108377</v>
      </c>
      <c r="E141" s="166">
        <f t="shared" si="24"/>
        <v>0.29497942386831283</v>
      </c>
      <c r="F141" s="166">
        <f t="shared" si="24"/>
        <v>0.2212345679012346</v>
      </c>
      <c r="G141" s="166">
        <f t="shared" si="24"/>
        <v>0.16592592592592595</v>
      </c>
      <c r="H141" s="166">
        <f t="shared" si="24"/>
        <v>0.12444444444444445</v>
      </c>
      <c r="I141" s="166">
        <f t="shared" si="24"/>
        <v>0.09333333333333334</v>
      </c>
      <c r="J141" s="283">
        <v>0.07</v>
      </c>
      <c r="K141" s="166">
        <f t="shared" si="25"/>
        <v>0.05460000000000001</v>
      </c>
      <c r="L141" s="166">
        <f t="shared" si="25"/>
        <v>0.04258800000000001</v>
      </c>
      <c r="M141" s="166">
        <f t="shared" si="25"/>
        <v>0.03321864000000001</v>
      </c>
      <c r="N141" s="166">
        <f t="shared" si="25"/>
        <v>0.025910539200000006</v>
      </c>
      <c r="O141" s="166">
        <f t="shared" si="25"/>
        <v>0.020210220576000006</v>
      </c>
      <c r="P141" s="532">
        <f t="shared" si="25"/>
        <v>0.015763972049280005</v>
      </c>
      <c r="Q141" s="321">
        <f t="shared" si="26"/>
        <v>0.22519960070400005</v>
      </c>
      <c r="R141" s="321"/>
      <c r="S141" s="321"/>
      <c r="T141" s="321"/>
    </row>
    <row r="142" spans="1:20" ht="15" customHeight="1">
      <c r="A142" s="348" t="s">
        <v>165</v>
      </c>
      <c r="B142" s="539">
        <v>-0.2</v>
      </c>
      <c r="C142" s="539">
        <v>-0.2</v>
      </c>
      <c r="D142" s="166">
        <f t="shared" si="24"/>
        <v>2.2888183593749987</v>
      </c>
      <c r="E142" s="166">
        <f t="shared" si="24"/>
        <v>1.8310546874999991</v>
      </c>
      <c r="F142" s="166">
        <f t="shared" si="24"/>
        <v>1.4648437499999993</v>
      </c>
      <c r="G142" s="166">
        <f t="shared" si="24"/>
        <v>1.1718749999999996</v>
      </c>
      <c r="H142" s="166">
        <f t="shared" si="24"/>
        <v>0.9374999999999998</v>
      </c>
      <c r="I142" s="166">
        <f t="shared" si="24"/>
        <v>0.7499999999999999</v>
      </c>
      <c r="J142" s="283">
        <v>0.6</v>
      </c>
      <c r="K142" s="166">
        <f t="shared" si="25"/>
        <v>0.48</v>
      </c>
      <c r="L142" s="166">
        <f t="shared" si="25"/>
        <v>0.384</v>
      </c>
      <c r="M142" s="166">
        <f t="shared" si="25"/>
        <v>0.30720000000000003</v>
      </c>
      <c r="N142" s="166">
        <f t="shared" si="25"/>
        <v>0.24576000000000003</v>
      </c>
      <c r="O142" s="166">
        <f t="shared" si="25"/>
        <v>0.19660800000000003</v>
      </c>
      <c r="P142" s="532">
        <f t="shared" si="25"/>
        <v>0.15728640000000005</v>
      </c>
      <c r="Q142" s="321">
        <f t="shared" si="26"/>
        <v>0.2621440000000001</v>
      </c>
      <c r="R142" s="321"/>
      <c r="S142" s="321"/>
      <c r="T142" s="321"/>
    </row>
    <row r="143" spans="1:20" ht="15" customHeight="1">
      <c r="A143" s="348" t="s">
        <v>167</v>
      </c>
      <c r="B143" s="539">
        <v>-0.13</v>
      </c>
      <c r="C143" s="539">
        <v>-0.11</v>
      </c>
      <c r="D143" s="292">
        <f t="shared" si="24"/>
        <v>0.023983790591528734</v>
      </c>
      <c r="E143" s="292">
        <f t="shared" si="24"/>
        <v>0.020865897814629997</v>
      </c>
      <c r="F143" s="292">
        <f t="shared" si="24"/>
        <v>0.018153331098728097</v>
      </c>
      <c r="G143" s="292">
        <f t="shared" si="24"/>
        <v>0.015793398055893443</v>
      </c>
      <c r="H143" s="292">
        <f t="shared" si="24"/>
        <v>0.013740256308627295</v>
      </c>
      <c r="I143" s="292">
        <f t="shared" si="24"/>
        <v>0.011954022988505746</v>
      </c>
      <c r="J143" s="293">
        <v>0.0104</v>
      </c>
      <c r="K143" s="292">
        <f t="shared" si="25"/>
        <v>0.009256</v>
      </c>
      <c r="L143" s="292">
        <f t="shared" si="25"/>
        <v>0.00823784</v>
      </c>
      <c r="M143" s="292">
        <f t="shared" si="25"/>
        <v>0.0073316776</v>
      </c>
      <c r="N143" s="292">
        <f t="shared" si="25"/>
        <v>0.006525193064</v>
      </c>
      <c r="O143" s="292">
        <f t="shared" si="25"/>
        <v>0.00580742182696</v>
      </c>
      <c r="P143" s="550">
        <f t="shared" si="25"/>
        <v>0.0051686054259944</v>
      </c>
      <c r="Q143" s="142">
        <f t="shared" si="26"/>
        <v>0.496981290961</v>
      </c>
      <c r="R143" s="321"/>
      <c r="S143" s="321"/>
      <c r="T143" s="321"/>
    </row>
    <row r="144" spans="1:20" ht="15" customHeight="1">
      <c r="A144" s="533" t="s">
        <v>171</v>
      </c>
      <c r="B144" s="545">
        <v>-0.12</v>
      </c>
      <c r="C144" s="545">
        <v>-0.1</v>
      </c>
      <c r="D144" s="551">
        <f t="shared" si="24"/>
        <v>0.10271227441240383</v>
      </c>
      <c r="E144" s="551">
        <f t="shared" si="24"/>
        <v>0.09038680148291536</v>
      </c>
      <c r="F144" s="551">
        <f t="shared" si="24"/>
        <v>0.07954038530496552</v>
      </c>
      <c r="G144" s="551">
        <f t="shared" si="24"/>
        <v>0.06999553906836965</v>
      </c>
      <c r="H144" s="551">
        <f t="shared" si="24"/>
        <v>0.06159607438016529</v>
      </c>
      <c r="I144" s="551">
        <f t="shared" si="24"/>
        <v>0.05420454545454546</v>
      </c>
      <c r="J144" s="552">
        <v>0.0477</v>
      </c>
      <c r="K144" s="551">
        <f t="shared" si="25"/>
        <v>0.04293</v>
      </c>
      <c r="L144" s="551">
        <f t="shared" si="25"/>
        <v>0.038637000000000005</v>
      </c>
      <c r="M144" s="551">
        <f t="shared" si="25"/>
        <v>0.03477330000000001</v>
      </c>
      <c r="N144" s="551">
        <f t="shared" si="25"/>
        <v>0.031295970000000006</v>
      </c>
      <c r="O144" s="551">
        <f t="shared" si="25"/>
        <v>0.028166373000000005</v>
      </c>
      <c r="P144" s="553">
        <f t="shared" si="25"/>
        <v>0.025349735700000004</v>
      </c>
      <c r="Q144" s="142">
        <f t="shared" si="26"/>
        <v>0.531441</v>
      </c>
      <c r="R144" s="321"/>
      <c r="S144" s="321"/>
      <c r="T144" s="321"/>
    </row>
    <row r="145" ht="15" customHeight="1">
      <c r="M145" s="142">
        <v>35</v>
      </c>
    </row>
    <row r="146" ht="14"/>
    <row r="147" spans="1:12" ht="44">
      <c r="A147" s="300" t="s">
        <v>172</v>
      </c>
      <c r="B147" s="300"/>
      <c r="C147" s="300"/>
      <c r="D147" s="301" t="s">
        <v>173</v>
      </c>
      <c r="E147" s="302" t="s">
        <v>174</v>
      </c>
      <c r="F147" s="303" t="s">
        <v>175</v>
      </c>
      <c r="G147" s="303" t="s">
        <v>176</v>
      </c>
      <c r="H147" s="303" t="s">
        <v>177</v>
      </c>
      <c r="I147" s="304" t="s">
        <v>178</v>
      </c>
      <c r="J147" s="304" t="s">
        <v>179</v>
      </c>
      <c r="K147" s="304" t="s">
        <v>180</v>
      </c>
      <c r="L147" s="305" t="s">
        <v>181</v>
      </c>
    </row>
    <row r="148" spans="4:12" ht="14.5">
      <c r="D148" s="306" t="s">
        <v>183</v>
      </c>
      <c r="E148" s="307">
        <f>47/9</f>
        <v>5.222222222222222</v>
      </c>
      <c r="F148" s="308">
        <f>37/9</f>
        <v>4.111111111111111</v>
      </c>
      <c r="G148" s="308">
        <v>5.222222222222222</v>
      </c>
      <c r="H148" s="308">
        <f>47/9</f>
        <v>5.222222222222222</v>
      </c>
      <c r="I148" s="309">
        <f>10*0.9*0.9*0.9*0.9</f>
        <v>6.561</v>
      </c>
      <c r="J148" s="310">
        <v>4.6</v>
      </c>
      <c r="K148" s="310"/>
      <c r="L148" s="311"/>
    </row>
    <row r="149" spans="4:12" ht="14.5">
      <c r="D149" s="306" t="s">
        <v>185</v>
      </c>
      <c r="E149" s="307">
        <f>14/35</f>
        <v>0.4</v>
      </c>
      <c r="F149" s="308">
        <f>11/35</f>
        <v>0.3142857142857143</v>
      </c>
      <c r="G149" s="308">
        <v>0.4</v>
      </c>
      <c r="H149" s="308">
        <f>14/35</f>
        <v>0.4</v>
      </c>
      <c r="I149" s="309">
        <f>1*0.85*0.85*0.85*0.85</f>
        <v>0.5220062499999999</v>
      </c>
      <c r="J149" s="310">
        <v>2.139</v>
      </c>
      <c r="K149" s="310"/>
      <c r="L149" s="311"/>
    </row>
    <row r="150" spans="4:12" ht="14.5">
      <c r="D150" s="306" t="s">
        <v>187</v>
      </c>
      <c r="E150" s="307">
        <f>24/290</f>
        <v>0.08275862068965517</v>
      </c>
      <c r="F150" s="308">
        <f>19/290</f>
        <v>0.06551724137931035</v>
      </c>
      <c r="G150" s="308">
        <v>0.08275862068965517</v>
      </c>
      <c r="H150" s="308">
        <f>24/290</f>
        <v>0.08275862068965517</v>
      </c>
      <c r="I150" s="309">
        <f>0.5*0.8*0.8*0.8*0.8</f>
        <v>0.20480000000000007</v>
      </c>
      <c r="J150" s="310">
        <v>0.089</v>
      </c>
      <c r="K150" s="310"/>
      <c r="L150" s="311"/>
    </row>
    <row r="151" spans="4:12" ht="14.5">
      <c r="D151" s="306" t="s">
        <v>188</v>
      </c>
      <c r="E151" s="312">
        <v>0.06</v>
      </c>
      <c r="F151" s="313">
        <v>0.06</v>
      </c>
      <c r="G151" s="313">
        <v>0.12</v>
      </c>
      <c r="H151" s="308">
        <f>2/46</f>
        <v>0.043478260869565216</v>
      </c>
      <c r="I151" s="309"/>
      <c r="J151" s="310"/>
      <c r="K151" s="310"/>
      <c r="L151" s="311"/>
    </row>
    <row r="152" spans="4:12" ht="14.5">
      <c r="D152" s="306" t="s">
        <v>190</v>
      </c>
      <c r="E152" s="307">
        <v>0.2</v>
      </c>
      <c r="F152" s="308">
        <v>0.094</v>
      </c>
      <c r="G152" s="308">
        <f>E152*172/392</f>
        <v>0.08775510204081632</v>
      </c>
      <c r="H152" s="308">
        <v>0.088</v>
      </c>
      <c r="I152" s="309">
        <f>0.2*0.25</f>
        <v>0.05</v>
      </c>
      <c r="J152" s="310">
        <v>0.033</v>
      </c>
      <c r="K152" s="310"/>
      <c r="L152" s="311"/>
    </row>
    <row r="153" spans="4:12" ht="14.5">
      <c r="D153" s="306" t="s">
        <v>191</v>
      </c>
      <c r="E153" s="307">
        <v>0.123</v>
      </c>
      <c r="F153" s="308">
        <v>0.056</v>
      </c>
      <c r="G153" s="308">
        <f>E153*69/158</f>
        <v>0.053715189873417724</v>
      </c>
      <c r="H153" s="308">
        <v>0.054</v>
      </c>
      <c r="I153" s="314">
        <f>I152</f>
        <v>0.05</v>
      </c>
      <c r="J153" s="310">
        <v>0.033</v>
      </c>
      <c r="K153" s="310"/>
      <c r="L153" s="311"/>
    </row>
    <row r="154" spans="4:12" ht="15">
      <c r="D154" s="315" t="s">
        <v>192</v>
      </c>
      <c r="E154" s="316">
        <v>22</v>
      </c>
      <c r="F154" s="317">
        <v>22</v>
      </c>
      <c r="G154" s="317">
        <v>22</v>
      </c>
      <c r="H154" s="317">
        <v>22</v>
      </c>
      <c r="I154" s="318"/>
      <c r="J154" s="319"/>
      <c r="K154" s="319"/>
      <c r="L154" s="311"/>
    </row>
    <row r="155" ht="15">
      <c r="L155" s="311"/>
    </row>
    <row r="156" spans="1:17" ht="27">
      <c r="A156" s="320" t="s">
        <v>193</v>
      </c>
      <c r="B156" s="320"/>
      <c r="C156" s="320"/>
      <c r="D156" s="143" t="s">
        <v>194</v>
      </c>
      <c r="E156" s="321">
        <f>E168/$Q$156</f>
        <v>0.22988505747126436</v>
      </c>
      <c r="F156" s="321">
        <f>F168/$Q$156</f>
        <v>0.22988505747126436</v>
      </c>
      <c r="G156" s="321">
        <f>G168/$Q$156</f>
        <v>0.3649425287356322</v>
      </c>
      <c r="H156" s="321">
        <f>H168/$Q$156</f>
        <v>0.29310344827586204</v>
      </c>
      <c r="I156" s="321">
        <f>I168/$Q$156</f>
        <v>0.43103448275862066</v>
      </c>
      <c r="J156" s="322">
        <f>2.06/5.7</f>
        <v>0.36140350877192984</v>
      </c>
      <c r="K156" s="321"/>
      <c r="L156" s="311">
        <v>0.6</v>
      </c>
      <c r="M156" s="142" t="s">
        <v>195</v>
      </c>
      <c r="Q156" s="142">
        <f>29*12</f>
        <v>348</v>
      </c>
    </row>
    <row r="157" spans="1:17" ht="15">
      <c r="A157" s="320" t="s">
        <v>196</v>
      </c>
      <c r="B157" s="320"/>
      <c r="C157" s="320"/>
      <c r="D157" s="143" t="s">
        <v>197</v>
      </c>
      <c r="E157" s="321">
        <f>E169/$Q$158</f>
        <v>0.21511627906976744</v>
      </c>
      <c r="F157" s="321">
        <f>F169/$Q$158</f>
        <v>0.12403100775193798</v>
      </c>
      <c r="G157" s="321">
        <f>G169/$Q$158</f>
        <v>0.11676356589147287</v>
      </c>
      <c r="H157" s="321">
        <f>H169/$Q$158</f>
        <v>0.0998062015503876</v>
      </c>
      <c r="I157" s="321">
        <f>I169/$Q$158</f>
        <v>0.0436046511627907</v>
      </c>
      <c r="J157" s="322">
        <f>1.44/43.5</f>
        <v>0.03310344827586207</v>
      </c>
      <c r="K157" s="321"/>
      <c r="L157" s="311">
        <v>0.07</v>
      </c>
      <c r="M157" s="142" t="s">
        <v>198</v>
      </c>
      <c r="Q157" s="142">
        <f>201*12</f>
        <v>2412</v>
      </c>
    </row>
    <row r="158" spans="4:17" ht="15">
      <c r="D158" s="143" t="s">
        <v>199</v>
      </c>
      <c r="E158" s="321">
        <f>E170/$Q$157</f>
        <v>0.21724709784411278</v>
      </c>
      <c r="F158" s="321">
        <f>F170/$Q$157</f>
        <v>0.13930348258706468</v>
      </c>
      <c r="G158" s="321">
        <f>G170/$Q$157</f>
        <v>0.15257048092868988</v>
      </c>
      <c r="H158" s="321">
        <f>H170/$Q$157</f>
        <v>0.12769485903814262</v>
      </c>
      <c r="I158" s="321">
        <f>I170/$Q$157</f>
        <v>0.09950248756218906</v>
      </c>
      <c r="J158" s="322">
        <f>3.5/49.2</f>
        <v>0.07113821138211382</v>
      </c>
      <c r="K158" s="321">
        <f>492/$Q$157</f>
        <v>0.20398009950248755</v>
      </c>
      <c r="L158" s="311"/>
      <c r="M158" s="142" t="s">
        <v>200</v>
      </c>
      <c r="Q158" s="142">
        <f>Q157-Q156</f>
        <v>2064</v>
      </c>
    </row>
    <row r="159" spans="1:13" ht="27">
      <c r="A159" s="320" t="s">
        <v>201</v>
      </c>
      <c r="B159" s="320"/>
      <c r="C159" s="320"/>
      <c r="D159" s="143" t="s">
        <v>202</v>
      </c>
      <c r="E159" s="142"/>
      <c r="F159" s="142"/>
      <c r="G159" s="142"/>
      <c r="H159" s="142"/>
      <c r="I159" s="323" t="s">
        <v>203</v>
      </c>
      <c r="J159" s="324">
        <v>0.3</v>
      </c>
      <c r="L159" s="311">
        <v>20</v>
      </c>
      <c r="M159" s="251"/>
    </row>
    <row r="160" spans="1:14" ht="14">
      <c r="A160" s="320"/>
      <c r="B160" s="320"/>
      <c r="C160" s="320"/>
      <c r="D160" s="143" t="s">
        <v>204</v>
      </c>
      <c r="E160" s="142"/>
      <c r="F160" s="142"/>
      <c r="G160" s="142">
        <v>20</v>
      </c>
      <c r="H160" s="142">
        <v>20</v>
      </c>
      <c r="I160" s="251">
        <v>0.25</v>
      </c>
      <c r="J160" s="324">
        <v>0.25</v>
      </c>
      <c r="L160" s="311">
        <v>25</v>
      </c>
      <c r="M160" s="251">
        <v>0.3</v>
      </c>
      <c r="N160" s="142" t="s">
        <v>205</v>
      </c>
    </row>
    <row r="161" spans="4:14" ht="44">
      <c r="D161" s="301" t="s">
        <v>207</v>
      </c>
      <c r="E161" s="302" t="s">
        <v>174</v>
      </c>
      <c r="F161" s="303" t="s">
        <v>175</v>
      </c>
      <c r="G161" s="303" t="s">
        <v>176</v>
      </c>
      <c r="H161" s="303" t="s">
        <v>177</v>
      </c>
      <c r="I161" s="304" t="s">
        <v>178</v>
      </c>
      <c r="J161" s="304" t="s">
        <v>208</v>
      </c>
      <c r="K161" s="304" t="s">
        <v>180</v>
      </c>
      <c r="L161" s="325" t="s">
        <v>209</v>
      </c>
      <c r="M161" s="305" t="s">
        <v>181</v>
      </c>
      <c r="N161" s="325"/>
    </row>
    <row r="162" spans="4:11" ht="14.5">
      <c r="D162" s="306" t="s">
        <v>183</v>
      </c>
      <c r="E162" s="307"/>
      <c r="F162" s="308"/>
      <c r="G162" s="308"/>
      <c r="H162" s="308"/>
      <c r="I162" s="309"/>
      <c r="J162" s="310"/>
      <c r="K162" s="310"/>
    </row>
    <row r="163" spans="4:11" ht="14.5">
      <c r="D163" s="306" t="s">
        <v>185</v>
      </c>
      <c r="E163" s="307"/>
      <c r="F163" s="308"/>
      <c r="G163" s="308"/>
      <c r="H163" s="308"/>
      <c r="I163" s="309"/>
      <c r="J163" s="310"/>
      <c r="K163" s="310"/>
    </row>
    <row r="164" spans="4:11" ht="14.5">
      <c r="D164" s="306" t="s">
        <v>187</v>
      </c>
      <c r="E164" s="307"/>
      <c r="F164" s="308"/>
      <c r="G164" s="308"/>
      <c r="H164" s="308"/>
      <c r="I164" s="309"/>
      <c r="J164" s="310"/>
      <c r="K164" s="310"/>
    </row>
    <row r="165" spans="4:11" ht="14.5">
      <c r="D165" s="306" t="s">
        <v>188</v>
      </c>
      <c r="E165" s="312"/>
      <c r="F165" s="313"/>
      <c r="G165" s="313"/>
      <c r="H165" s="308"/>
      <c r="I165" s="309"/>
      <c r="J165" s="310"/>
      <c r="K165" s="310"/>
    </row>
    <row r="166" spans="4:11" ht="14.5">
      <c r="D166" s="306" t="s">
        <v>190</v>
      </c>
      <c r="E166" s="307">
        <v>286</v>
      </c>
      <c r="F166" s="308">
        <v>185</v>
      </c>
      <c r="G166" s="308">
        <v>172</v>
      </c>
      <c r="H166" s="308">
        <v>134</v>
      </c>
      <c r="I166" s="309"/>
      <c r="J166" s="310"/>
      <c r="K166" s="310"/>
    </row>
    <row r="167" spans="4:11" ht="14.5">
      <c r="D167" s="306" t="s">
        <v>191</v>
      </c>
      <c r="E167" s="307">
        <v>158</v>
      </c>
      <c r="F167" s="308">
        <v>71</v>
      </c>
      <c r="G167" s="308">
        <v>69</v>
      </c>
      <c r="H167" s="308">
        <v>72</v>
      </c>
      <c r="I167" s="314"/>
      <c r="J167" s="310"/>
      <c r="K167" s="310"/>
    </row>
    <row r="168" spans="4:14" ht="15">
      <c r="D168" s="143" t="s">
        <v>214</v>
      </c>
      <c r="E168" s="142">
        <v>80</v>
      </c>
      <c r="F168" s="142">
        <v>80</v>
      </c>
      <c r="G168" s="142">
        <v>127</v>
      </c>
      <c r="H168" s="326">
        <v>102</v>
      </c>
      <c r="I168" s="142">
        <v>150</v>
      </c>
      <c r="J168" s="142"/>
      <c r="K168" s="142"/>
      <c r="L168" s="142">
        <v>160</v>
      </c>
      <c r="M168" s="311">
        <v>209</v>
      </c>
      <c r="N168" s="142">
        <v>80</v>
      </c>
    </row>
    <row r="169" spans="4:14" ht="15">
      <c r="D169" s="143" t="s">
        <v>215</v>
      </c>
      <c r="E169" s="321">
        <f>E166+E167</f>
        <v>444</v>
      </c>
      <c r="F169" s="142">
        <f aca="true" t="shared" si="27" ref="F169:H169">F166+F167</f>
        <v>256</v>
      </c>
      <c r="G169" s="142">
        <f t="shared" si="27"/>
        <v>241</v>
      </c>
      <c r="H169" s="142">
        <f t="shared" si="27"/>
        <v>206</v>
      </c>
      <c r="I169" s="142">
        <v>90</v>
      </c>
      <c r="J169" s="142"/>
      <c r="K169" s="142"/>
      <c r="L169" s="142">
        <v>90</v>
      </c>
      <c r="M169" s="311">
        <v>141</v>
      </c>
      <c r="N169" s="142">
        <v>440</v>
      </c>
    </row>
    <row r="170" spans="4:14" ht="15">
      <c r="D170" s="143" t="s">
        <v>104</v>
      </c>
      <c r="E170" s="142">
        <f>SUM(E168:E169)</f>
        <v>524</v>
      </c>
      <c r="F170" s="142">
        <f>SUM(F168:F169)</f>
        <v>336</v>
      </c>
      <c r="G170" s="142">
        <f>SUM(G168:G169)</f>
        <v>368</v>
      </c>
      <c r="H170" s="142">
        <f>SUM(H168:H169)</f>
        <v>308</v>
      </c>
      <c r="I170" s="142">
        <f>SUM(I168:I169)</f>
        <v>240</v>
      </c>
      <c r="J170" s="142">
        <v>250</v>
      </c>
      <c r="K170" s="142">
        <v>492</v>
      </c>
      <c r="L170" s="142">
        <f>SUM(L168:L169)</f>
        <v>250</v>
      </c>
      <c r="M170" s="311">
        <f>SUM(M168:M169)</f>
        <v>350</v>
      </c>
      <c r="N170" s="142">
        <f>SUM(N168:N169)</f>
        <v>520</v>
      </c>
    </row>
    <row r="172" ht="15">
      <c r="M172" s="142">
        <v>2015</v>
      </c>
    </row>
    <row r="173" spans="1:13" ht="15">
      <c r="A173" s="143" t="s">
        <v>225</v>
      </c>
      <c r="M173" s="142">
        <v>201</v>
      </c>
    </row>
    <row r="174" spans="1:13" ht="15">
      <c r="A174" s="143" t="s">
        <v>226</v>
      </c>
      <c r="M174" s="142">
        <v>86</v>
      </c>
    </row>
    <row r="175" spans="11:13" ht="15">
      <c r="K175" s="142">
        <v>312</v>
      </c>
      <c r="M175" s="142">
        <f>SUM(M173:M174)</f>
        <v>287</v>
      </c>
    </row>
    <row r="176" ht="15">
      <c r="A176" s="143" t="s">
        <v>227</v>
      </c>
    </row>
    <row r="177" spans="1:15" ht="15">
      <c r="A177" s="143" t="s">
        <v>228</v>
      </c>
      <c r="D177" s="143">
        <f>24*1.55</f>
        <v>37.2</v>
      </c>
      <c r="K177" s="142">
        <f>K170/K175</f>
        <v>1.5769230769230769</v>
      </c>
      <c r="M177" s="142">
        <f>M170/M175</f>
        <v>1.2195121951219512</v>
      </c>
      <c r="N177" s="142">
        <f>POWER(1.13,6)</f>
        <v>2.0819517526089983</v>
      </c>
      <c r="O177" s="251">
        <v>0.05</v>
      </c>
    </row>
    <row r="178" ht="15">
      <c r="K178" s="251">
        <v>0.12</v>
      </c>
    </row>
    <row r="179" spans="1:4" ht="15">
      <c r="A179" s="143" t="s">
        <v>229</v>
      </c>
      <c r="D179" s="143">
        <f>27/0.65</f>
        <v>41.53846153846154</v>
      </c>
    </row>
    <row r="180" spans="1:13" ht="15">
      <c r="A180" s="143" t="s">
        <v>230</v>
      </c>
      <c r="D180" s="143">
        <f>D179/D177</f>
        <v>1.1166253101736971</v>
      </c>
      <c r="M180" s="142">
        <v>2025</v>
      </c>
    </row>
    <row r="181" ht="15">
      <c r="M181" s="142">
        <v>115</v>
      </c>
    </row>
    <row r="182" ht="15">
      <c r="M182" s="142">
        <v>360</v>
      </c>
    </row>
    <row r="183" ht="15">
      <c r="M183" s="142">
        <f>SUM(M181:M182)</f>
        <v>475</v>
      </c>
    </row>
    <row r="185" ht="15">
      <c r="M185" s="142">
        <f>M183/M170</f>
        <v>1.3571428571428572</v>
      </c>
    </row>
    <row r="188" spans="1:13" ht="18">
      <c r="A188" s="300" t="s">
        <v>231</v>
      </c>
      <c r="B188" s="300"/>
      <c r="C188" s="300"/>
      <c r="E188" s="143" t="s">
        <v>232</v>
      </c>
      <c r="F188" s="143" t="s">
        <v>209</v>
      </c>
      <c r="G188" s="143" t="s">
        <v>176</v>
      </c>
      <c r="H188" s="143" t="s">
        <v>177</v>
      </c>
      <c r="I188" s="143" t="s">
        <v>208</v>
      </c>
      <c r="J188" s="143" t="s">
        <v>233</v>
      </c>
      <c r="K188" s="143" t="s">
        <v>89</v>
      </c>
      <c r="L188" s="143" t="s">
        <v>234</v>
      </c>
      <c r="M188" s="311" t="s">
        <v>181</v>
      </c>
    </row>
    <row r="189" spans="4:13" ht="44">
      <c r="D189" s="301" t="s">
        <v>207</v>
      </c>
      <c r="E189" s="142">
        <v>420</v>
      </c>
      <c r="F189" s="142">
        <v>200</v>
      </c>
      <c r="G189" s="142">
        <v>208</v>
      </c>
      <c r="H189" s="142">
        <v>288</v>
      </c>
      <c r="I189" s="142">
        <v>230</v>
      </c>
      <c r="J189" s="142">
        <v>306</v>
      </c>
      <c r="K189" s="142">
        <v>230</v>
      </c>
      <c r="L189" s="142"/>
      <c r="M189" s="311">
        <v>420</v>
      </c>
    </row>
    <row r="190" spans="4:13" ht="14.5">
      <c r="D190" s="327" t="s">
        <v>235</v>
      </c>
      <c r="E190" s="142"/>
      <c r="F190" s="142"/>
      <c r="G190" s="142"/>
      <c r="H190" s="142"/>
      <c r="I190" s="142"/>
      <c r="J190" s="142"/>
      <c r="K190" s="142"/>
      <c r="L190" s="142"/>
      <c r="M190" s="311">
        <f>M189/14100</f>
        <v>0.029787234042553193</v>
      </c>
    </row>
    <row r="191" spans="4:13" ht="14.5">
      <c r="D191" s="327" t="s">
        <v>236</v>
      </c>
      <c r="E191" s="142"/>
      <c r="F191" s="142"/>
      <c r="G191" s="142"/>
      <c r="H191" s="142"/>
      <c r="I191" s="142"/>
      <c r="J191" s="142"/>
      <c r="K191" s="142"/>
      <c r="L191" s="142">
        <v>17</v>
      </c>
      <c r="M191" s="311">
        <v>17</v>
      </c>
    </row>
    <row r="192" spans="4:13" ht="14.5">
      <c r="D192" s="327" t="s">
        <v>237</v>
      </c>
      <c r="E192" s="142"/>
      <c r="F192" s="142"/>
      <c r="G192" s="142"/>
      <c r="H192" s="142">
        <v>20</v>
      </c>
      <c r="I192" s="142"/>
      <c r="J192" s="142"/>
      <c r="K192" s="142"/>
      <c r="L192" s="142"/>
      <c r="M192" s="311">
        <v>17</v>
      </c>
    </row>
    <row r="193" spans="4:13" ht="14.5">
      <c r="D193" s="328" t="s">
        <v>238</v>
      </c>
      <c r="E193" s="142">
        <v>10</v>
      </c>
      <c r="F193" s="142">
        <v>0</v>
      </c>
      <c r="G193" s="142">
        <v>13</v>
      </c>
      <c r="H193" s="142">
        <v>4</v>
      </c>
      <c r="I193" s="142"/>
      <c r="J193" s="142">
        <v>7</v>
      </c>
      <c r="K193" s="142">
        <v>0</v>
      </c>
      <c r="L193" s="142">
        <v>2</v>
      </c>
      <c r="M193" s="311"/>
    </row>
    <row r="194" ht="15">
      <c r="M194" s="311"/>
    </row>
    <row r="195" ht="15">
      <c r="M195" s="311"/>
    </row>
    <row r="196" ht="15">
      <c r="M196" s="142">
        <f>429/208</f>
        <v>2.0625</v>
      </c>
    </row>
    <row r="197" ht="14">
      <c r="A197" s="143" t="s">
        <v>239</v>
      </c>
    </row>
    <row r="198" spans="1:16" ht="67.5">
      <c r="A198" s="329" t="s">
        <v>240</v>
      </c>
      <c r="B198" s="329"/>
      <c r="C198" s="329"/>
      <c r="D198" s="330">
        <v>2013</v>
      </c>
      <c r="E198" s="330">
        <v>2014</v>
      </c>
      <c r="F198" s="330">
        <v>2015</v>
      </c>
      <c r="G198" s="331">
        <v>2016</v>
      </c>
      <c r="H198" s="331">
        <v>2017</v>
      </c>
      <c r="I198" s="331">
        <v>2018</v>
      </c>
      <c r="J198" s="331">
        <v>2019</v>
      </c>
      <c r="K198" s="331">
        <v>2020</v>
      </c>
      <c r="L198" s="331">
        <v>2021</v>
      </c>
      <c r="M198" s="331">
        <v>2022</v>
      </c>
      <c r="N198" s="331">
        <v>2023</v>
      </c>
      <c r="O198" s="331">
        <v>2024</v>
      </c>
      <c r="P198" s="332">
        <v>2025</v>
      </c>
    </row>
    <row r="199" spans="1:16" ht="15">
      <c r="A199" s="143" t="s">
        <v>241</v>
      </c>
      <c r="D199" s="334">
        <v>2700</v>
      </c>
      <c r="E199" s="334">
        <v>3400</v>
      </c>
      <c r="F199" s="334">
        <v>4700</v>
      </c>
      <c r="G199" s="334">
        <v>6800</v>
      </c>
      <c r="H199" s="333">
        <v>9100</v>
      </c>
      <c r="I199" s="334">
        <v>11600</v>
      </c>
      <c r="J199" s="334">
        <v>14100</v>
      </c>
      <c r="K199" s="334">
        <v>17100</v>
      </c>
      <c r="L199" s="334">
        <v>20600</v>
      </c>
      <c r="M199" s="335">
        <f>M200+M201</f>
        <v>25204.1</v>
      </c>
      <c r="N199" s="335">
        <f aca="true" t="shared" si="28" ref="N199:P199">N200+N201</f>
        <v>30984.563000000002</v>
      </c>
      <c r="O199" s="335">
        <f t="shared" si="28"/>
        <v>38267.66519</v>
      </c>
      <c r="P199" s="335">
        <f t="shared" si="28"/>
        <v>47474.1033647</v>
      </c>
    </row>
    <row r="200" spans="1:16" ht="14.5">
      <c r="A200" s="143" t="s">
        <v>243</v>
      </c>
      <c r="D200" s="208">
        <f aca="true" t="shared" si="29" ref="D200:E200">D202*D199</f>
        <v>698.0325120000001</v>
      </c>
      <c r="E200" s="208">
        <f t="shared" si="29"/>
        <v>1008.032</v>
      </c>
      <c r="F200" s="142">
        <f>F202*F199</f>
        <v>1598.0000000000002</v>
      </c>
      <c r="G200" s="208">
        <f>G202*G199</f>
        <v>2652</v>
      </c>
      <c r="H200" s="208">
        <f aca="true" t="shared" si="30" ref="H200:K200">H202*H199</f>
        <v>3800.9790000000003</v>
      </c>
      <c r="I200" s="208">
        <f t="shared" si="30"/>
        <v>5189.213484</v>
      </c>
      <c r="J200" s="208">
        <f t="shared" si="30"/>
        <v>6755.416529588999</v>
      </c>
      <c r="K200" s="208">
        <f t="shared" si="30"/>
        <v>8774.423678336587</v>
      </c>
      <c r="L200" s="208">
        <f>L202*L199</f>
        <v>11330.000000000002</v>
      </c>
      <c r="M200" s="263">
        <f>L200*1.3</f>
        <v>14729.000000000004</v>
      </c>
      <c r="N200" s="263">
        <f aca="true" t="shared" si="31" ref="N200:P200">M200*1.3</f>
        <v>19147.700000000004</v>
      </c>
      <c r="O200" s="263">
        <f t="shared" si="31"/>
        <v>24892.010000000006</v>
      </c>
      <c r="P200" s="336">
        <f t="shared" si="31"/>
        <v>32359.61300000001</v>
      </c>
    </row>
    <row r="201" spans="1:16" ht="14.5">
      <c r="A201" s="143" t="s">
        <v>244</v>
      </c>
      <c r="D201" s="208">
        <f aca="true" t="shared" si="32" ref="D201:E201">D199-D200</f>
        <v>2001.9674879999998</v>
      </c>
      <c r="E201" s="208">
        <f t="shared" si="32"/>
        <v>2391.968</v>
      </c>
      <c r="F201" s="142">
        <f>F199-F200</f>
        <v>3102</v>
      </c>
      <c r="G201" s="208">
        <f>G199-G200</f>
        <v>4148</v>
      </c>
      <c r="H201" s="208">
        <f aca="true" t="shared" si="33" ref="H201:L201">H199-H200</f>
        <v>5299.021</v>
      </c>
      <c r="I201" s="208">
        <f t="shared" si="33"/>
        <v>6410.786516</v>
      </c>
      <c r="J201" s="208">
        <f t="shared" si="33"/>
        <v>7344.583470411001</v>
      </c>
      <c r="K201" s="208">
        <f t="shared" si="33"/>
        <v>8325.576321663413</v>
      </c>
      <c r="L201" s="208">
        <f t="shared" si="33"/>
        <v>9269.999999999998</v>
      </c>
      <c r="M201" s="263">
        <f>L201*1.13</f>
        <v>10475.099999999997</v>
      </c>
      <c r="N201" s="263">
        <f aca="true" t="shared" si="34" ref="N201:P201">M201*1.13</f>
        <v>11836.862999999996</v>
      </c>
      <c r="O201" s="263">
        <f t="shared" si="34"/>
        <v>13375.655189999994</v>
      </c>
      <c r="P201" s="336">
        <f t="shared" si="34"/>
        <v>15114.490364699992</v>
      </c>
    </row>
    <row r="202" spans="1:16" ht="15">
      <c r="A202" s="143" t="s">
        <v>245</v>
      </c>
      <c r="D202" s="337">
        <f>E202*0.872</f>
        <v>0.25853056</v>
      </c>
      <c r="E202" s="337">
        <f>F202*0.872</f>
        <v>0.29648</v>
      </c>
      <c r="F202" s="338">
        <v>0.34</v>
      </c>
      <c r="G202" s="338">
        <v>0.39</v>
      </c>
      <c r="H202" s="337">
        <f>G202*1.071</f>
        <v>0.41769</v>
      </c>
      <c r="I202" s="337">
        <f aca="true" t="shared" si="35" ref="I202:K202">H202*1.071</f>
        <v>0.44734598999999997</v>
      </c>
      <c r="J202" s="337">
        <f t="shared" si="35"/>
        <v>0.47910755528999993</v>
      </c>
      <c r="K202" s="337">
        <f t="shared" si="35"/>
        <v>0.5131241917155899</v>
      </c>
      <c r="L202" s="337">
        <v>0.55</v>
      </c>
      <c r="M202" s="339">
        <f>M200/M199</f>
        <v>0.5843890478136495</v>
      </c>
      <c r="N202" s="339">
        <f>N200/N199</f>
        <v>0.6179754737867371</v>
      </c>
      <c r="O202" s="339">
        <f>O200/O199</f>
        <v>0.6504710929295137</v>
      </c>
      <c r="P202" s="339">
        <f>P200/P199</f>
        <v>0.6816266281305152</v>
      </c>
    </row>
    <row r="203" spans="1:11" ht="15">
      <c r="A203" s="143" t="s">
        <v>246</v>
      </c>
      <c r="D203" s="142"/>
      <c r="E203" s="142"/>
      <c r="F203" s="142"/>
      <c r="G203" s="142"/>
      <c r="H203" s="142"/>
      <c r="I203" s="142"/>
      <c r="J203" s="142"/>
      <c r="K203" s="142"/>
    </row>
    <row r="204" spans="1:12" ht="15">
      <c r="A204" s="143" t="s">
        <v>247</v>
      </c>
      <c r="D204" s="340">
        <f aca="true" t="shared" si="36" ref="D204:H204">D205/D200</f>
        <v>0.027453119465315312</v>
      </c>
      <c r="E204" s="340">
        <f t="shared" si="36"/>
        <v>0.02359200293123551</v>
      </c>
      <c r="F204" s="340">
        <f t="shared" si="36"/>
        <v>0.018468606963945543</v>
      </c>
      <c r="G204" s="340">
        <f t="shared" si="36"/>
        <v>0.013810492799821179</v>
      </c>
      <c r="H204" s="340">
        <f t="shared" si="36"/>
        <v>0.011958012603926798</v>
      </c>
      <c r="I204" s="340">
        <f>I205/I200</f>
        <v>0.010869879273109706</v>
      </c>
      <c r="J204" s="340">
        <f>J205/J200</f>
        <v>0.010362055351198132</v>
      </c>
      <c r="K204" s="340"/>
      <c r="L204" s="340"/>
    </row>
    <row r="205" spans="1:11" ht="15">
      <c r="A205" s="143" t="s">
        <v>248</v>
      </c>
      <c r="D205" s="208">
        <f aca="true" t="shared" si="37" ref="D205:H205">E205/1.241</f>
        <v>19.163169942610146</v>
      </c>
      <c r="E205" s="208">
        <f t="shared" si="37"/>
        <v>23.781493898779193</v>
      </c>
      <c r="F205" s="208">
        <f t="shared" si="37"/>
        <v>29.512833928384982</v>
      </c>
      <c r="G205" s="208">
        <f>H205/1.241</f>
        <v>36.625426905125764</v>
      </c>
      <c r="H205" s="208">
        <f t="shared" si="37"/>
        <v>45.45215478926108</v>
      </c>
      <c r="I205" s="208">
        <f>J205/1.241</f>
        <v>56.406124093473004</v>
      </c>
      <c r="J205" s="208">
        <v>70</v>
      </c>
      <c r="K205" s="142"/>
    </row>
    <row r="206" spans="1:11" ht="15">
      <c r="A206" s="143" t="s">
        <v>249</v>
      </c>
      <c r="D206" s="208"/>
      <c r="E206" s="208"/>
      <c r="F206" s="208"/>
      <c r="G206" s="208"/>
      <c r="H206" s="208"/>
      <c r="I206" s="208"/>
      <c r="J206" s="208"/>
      <c r="K206" s="142"/>
    </row>
    <row r="207" spans="1:12" ht="15">
      <c r="A207" s="143" t="s">
        <v>250</v>
      </c>
      <c r="D207" s="340">
        <f aca="true" t="shared" si="38" ref="D207:I207">D208/D201</f>
        <v>0.11780252749908288</v>
      </c>
      <c r="E207" s="340">
        <f t="shared" si="38"/>
        <v>0.10293553513308741</v>
      </c>
      <c r="F207" s="340">
        <f t="shared" si="38"/>
        <v>0.08300682336286752</v>
      </c>
      <c r="G207" s="340">
        <f t="shared" si="38"/>
        <v>0.06711055281940073</v>
      </c>
      <c r="H207" s="340">
        <f t="shared" si="38"/>
        <v>0.05747247372877724</v>
      </c>
      <c r="I207" s="340">
        <f t="shared" si="38"/>
        <v>0.05125640591625138</v>
      </c>
      <c r="J207" s="340">
        <f>J208/J201</f>
        <v>0.04765416601363972</v>
      </c>
      <c r="K207" s="142"/>
      <c r="L207" s="340"/>
    </row>
    <row r="208" spans="1:11" ht="15">
      <c r="A208" s="143" t="s">
        <v>251</v>
      </c>
      <c r="D208" s="341">
        <f>D218-D205</f>
        <v>235.83683005738985</v>
      </c>
      <c r="E208" s="208">
        <f aca="true" t="shared" si="39" ref="E208:J208">E218-E205</f>
        <v>246.2185061012208</v>
      </c>
      <c r="F208" s="208">
        <f t="shared" si="39"/>
        <v>257.48716607161504</v>
      </c>
      <c r="G208" s="208">
        <f t="shared" si="39"/>
        <v>278.3745730948742</v>
      </c>
      <c r="H208" s="208">
        <f t="shared" si="39"/>
        <v>304.5478452107389</v>
      </c>
      <c r="I208" s="208">
        <f t="shared" si="39"/>
        <v>328.593875906527</v>
      </c>
      <c r="J208" s="208">
        <f t="shared" si="39"/>
        <v>350</v>
      </c>
      <c r="K208" s="142"/>
    </row>
    <row r="209" spans="4:11" ht="15">
      <c r="D209" s="142"/>
      <c r="E209" s="142"/>
      <c r="F209" s="142"/>
      <c r="G209" s="142"/>
      <c r="H209" s="142"/>
      <c r="I209" s="142"/>
      <c r="J209" s="142"/>
      <c r="K209" s="142"/>
    </row>
    <row r="210" spans="4:11" ht="15">
      <c r="D210" s="142"/>
      <c r="E210" s="142"/>
      <c r="F210" s="142"/>
      <c r="G210" s="142"/>
      <c r="H210" s="142"/>
      <c r="I210" s="142"/>
      <c r="J210" s="142"/>
      <c r="K210" s="142"/>
    </row>
    <row r="211" spans="4:11" ht="15">
      <c r="D211" s="142"/>
      <c r="E211" s="142"/>
      <c r="F211" s="142"/>
      <c r="G211" s="142"/>
      <c r="H211" s="142"/>
      <c r="I211" s="142"/>
      <c r="J211" s="142"/>
      <c r="K211" s="142"/>
    </row>
    <row r="213" ht="12.75"/>
    <row r="214" ht="12.75"/>
    <row r="215" ht="12.75"/>
    <row r="216" spans="4:11" ht="15">
      <c r="D216" s="331">
        <v>2013</v>
      </c>
      <c r="E216" s="331">
        <v>2014</v>
      </c>
      <c r="F216" s="331">
        <v>2015</v>
      </c>
      <c r="G216" s="331">
        <v>2016</v>
      </c>
      <c r="H216" s="331">
        <v>2017</v>
      </c>
      <c r="I216" s="331">
        <v>2018</v>
      </c>
      <c r="J216" s="331">
        <v>2019</v>
      </c>
      <c r="K216" s="142" t="s">
        <v>252</v>
      </c>
    </row>
    <row r="217" ht="12.75"/>
    <row r="218" spans="1:12" ht="12.75">
      <c r="A218" s="143" t="s">
        <v>253</v>
      </c>
      <c r="D218" s="142">
        <v>255</v>
      </c>
      <c r="E218" s="142">
        <v>270</v>
      </c>
      <c r="F218" s="142">
        <v>287</v>
      </c>
      <c r="G218" s="142">
        <v>315</v>
      </c>
      <c r="H218" s="142">
        <v>350</v>
      </c>
      <c r="I218" s="142">
        <v>385</v>
      </c>
      <c r="J218" s="142">
        <v>420</v>
      </c>
      <c r="K218" s="251">
        <v>0.09</v>
      </c>
      <c r="L218" s="142">
        <f>POWER(1.09,5)</f>
        <v>1.5386239549000005</v>
      </c>
    </row>
    <row r="219" spans="1:10" ht="12.75">
      <c r="A219" s="143" t="s">
        <v>254</v>
      </c>
      <c r="D219" s="321">
        <f aca="true" t="shared" si="40" ref="D219:J219">D218/D136</f>
        <v>0.09444444444444444</v>
      </c>
      <c r="E219" s="321">
        <f t="shared" si="40"/>
        <v>0.07941176470588235</v>
      </c>
      <c r="F219" s="321">
        <f t="shared" si="40"/>
        <v>0.06106382978723404</v>
      </c>
      <c r="G219" s="321">
        <f t="shared" si="40"/>
        <v>0.04632352941176471</v>
      </c>
      <c r="H219" s="321">
        <f t="shared" si="40"/>
        <v>0.038461538461538464</v>
      </c>
      <c r="I219" s="321">
        <f t="shared" si="40"/>
        <v>0.03318965517241379</v>
      </c>
      <c r="J219" s="321">
        <f t="shared" si="40"/>
        <v>0.029787234042553193</v>
      </c>
    </row>
    <row r="220" spans="1:10" ht="12.75">
      <c r="A220" s="143" t="s">
        <v>255</v>
      </c>
      <c r="D220" s="142"/>
      <c r="E220" s="142">
        <f>E219/D219</f>
        <v>0.8408304498269896</v>
      </c>
      <c r="F220" s="142">
        <f aca="true" t="shared" si="41" ref="F220:J220">F219/E219</f>
        <v>0.7689519306540583</v>
      </c>
      <c r="G220" s="142">
        <f t="shared" si="41"/>
        <v>0.7586083213773315</v>
      </c>
      <c r="H220" s="142">
        <f>H219/G219</f>
        <v>0.8302808302808303</v>
      </c>
      <c r="I220" s="142">
        <f t="shared" si="41"/>
        <v>0.8629310344827585</v>
      </c>
      <c r="J220" s="142">
        <f t="shared" si="41"/>
        <v>0.8974854932301742</v>
      </c>
    </row>
    <row r="221" spans="1:10" ht="12.75">
      <c r="A221" s="143" t="s">
        <v>256</v>
      </c>
      <c r="D221" s="142"/>
      <c r="E221" s="142"/>
      <c r="F221" s="142"/>
      <c r="G221" s="142"/>
      <c r="H221" s="142"/>
      <c r="I221" s="142"/>
      <c r="J221" s="142">
        <f>J219/F219</f>
        <v>0.48780487804878053</v>
      </c>
    </row>
    <row r="222" ht="12.75">
      <c r="A222" s="143">
        <f>POWER(0.83,4)</f>
        <v>0.4745832099999999</v>
      </c>
    </row>
    <row r="223" ht="12.75"/>
    <row r="224" ht="12.75"/>
    <row r="225" ht="12.75"/>
    <row r="226" ht="12.75"/>
    <row r="227" ht="12.75"/>
    <row r="228" spans="1:7" ht="12.75">
      <c r="A228" s="143" t="s">
        <v>257</v>
      </c>
      <c r="D228" s="143">
        <v>2018</v>
      </c>
      <c r="E228" s="143">
        <v>2019</v>
      </c>
      <c r="F228" s="143">
        <v>2023</v>
      </c>
      <c r="G228" s="143" t="s">
        <v>258</v>
      </c>
    </row>
    <row r="229" spans="4:8" ht="12.75">
      <c r="D229" s="142">
        <v>161</v>
      </c>
      <c r="E229" s="142">
        <v>178</v>
      </c>
      <c r="F229" s="142">
        <v>267</v>
      </c>
      <c r="G229" s="342">
        <v>0.105</v>
      </c>
      <c r="H229" s="143">
        <f>POWER(1.07,5)</f>
        <v>1.4025517307000002</v>
      </c>
    </row>
    <row r="230" ht="12.75"/>
    <row r="231" ht="12.75"/>
    <row r="232" spans="1:7" ht="12.75">
      <c r="A232" s="143" t="s">
        <v>259</v>
      </c>
      <c r="D232" s="208">
        <v>78</v>
      </c>
      <c r="E232" s="208">
        <f>1.05*D232</f>
        <v>81.9</v>
      </c>
      <c r="F232" s="208">
        <f>1.05*1.05*1.05*1.05*E232</f>
        <v>99.54996187500002</v>
      </c>
      <c r="G232" s="251">
        <v>0.05</v>
      </c>
    </row>
    <row r="233" spans="4:13" ht="12.75">
      <c r="D233" s="341"/>
      <c r="E233" s="341"/>
      <c r="F233" s="341"/>
      <c r="M233" s="142" t="s">
        <v>260</v>
      </c>
    </row>
    <row r="234" spans="1:7" ht="12.75">
      <c r="A234" s="143" t="s">
        <v>261</v>
      </c>
      <c r="D234" s="208">
        <v>73</v>
      </c>
      <c r="E234" s="208">
        <v>73</v>
      </c>
      <c r="F234" s="208">
        <v>73</v>
      </c>
      <c r="G234" s="251">
        <v>0</v>
      </c>
    </row>
    <row r="235" spans="4:7" ht="12.75">
      <c r="D235" s="208"/>
      <c r="E235" s="208"/>
      <c r="F235" s="208"/>
      <c r="G235" s="142"/>
    </row>
    <row r="236" spans="1:7" ht="12.75">
      <c r="A236" s="143" t="s">
        <v>262</v>
      </c>
      <c r="D236" s="343">
        <f>E236/1.08</f>
        <v>74.07407407407408</v>
      </c>
      <c r="E236" s="344">
        <v>80</v>
      </c>
      <c r="F236" s="343">
        <f>1.08*1.08*1.08*1.08*E236</f>
        <v>108.83911680000003</v>
      </c>
      <c r="G236" s="345">
        <v>0.08</v>
      </c>
    </row>
    <row r="237" spans="4:7" ht="12.75">
      <c r="D237" s="208"/>
      <c r="E237" s="208"/>
      <c r="F237" s="208"/>
      <c r="G237" s="142"/>
    </row>
    <row r="238" spans="1:7" ht="12.75">
      <c r="A238" s="143" t="s">
        <v>104</v>
      </c>
      <c r="D238" s="208">
        <f>D229+D232+D234+D236</f>
        <v>386.0740740740741</v>
      </c>
      <c r="E238" s="208">
        <f>E229+E232+E234+E236</f>
        <v>412.9</v>
      </c>
      <c r="F238" s="208">
        <f>F229+F232+F234+F236</f>
        <v>548.3890786750001</v>
      </c>
      <c r="G238" s="346">
        <v>0.075</v>
      </c>
    </row>
    <row r="239" spans="4:7" ht="12.75">
      <c r="D239" s="142"/>
      <c r="E239" s="142"/>
      <c r="F239" s="142"/>
      <c r="G239" s="142"/>
    </row>
    <row r="240" spans="4:7" ht="12.75">
      <c r="D240" s="142"/>
      <c r="E240" s="142"/>
      <c r="F240" s="142"/>
      <c r="G240" s="142"/>
    </row>
    <row r="241" ht="12.75"/>
    <row r="242" ht="12.75"/>
    <row r="243" ht="12.75"/>
    <row r="244" spans="1:4" ht="63.75">
      <c r="A244" s="347" t="s">
        <v>263</v>
      </c>
      <c r="B244" s="347"/>
      <c r="C244" s="347"/>
      <c r="D244" s="143">
        <f>252*0.5*365*24</f>
        <v>1103760</v>
      </c>
    </row>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6" spans="1:3" ht="17.5">
      <c r="A266" s="300" t="s">
        <v>264</v>
      </c>
      <c r="B266" s="300"/>
      <c r="C266" s="300"/>
    </row>
    <row r="267" ht="14">
      <c r="H267" s="143" t="s">
        <v>234</v>
      </c>
    </row>
    <row r="268" spans="1:8" ht="14.5">
      <c r="A268" s="348" t="s">
        <v>74</v>
      </c>
      <c r="B268" s="157"/>
      <c r="C268" s="157"/>
      <c r="H268" s="349" t="s">
        <v>30</v>
      </c>
    </row>
    <row r="269" spans="1:8" ht="14.5">
      <c r="A269" s="348" t="s">
        <v>76</v>
      </c>
      <c r="B269" s="157"/>
      <c r="C269" s="157"/>
      <c r="H269" s="350" t="s">
        <v>265</v>
      </c>
    </row>
    <row r="270" spans="1:8" ht="14.5">
      <c r="A270" s="348" t="s">
        <v>78</v>
      </c>
      <c r="B270" s="157"/>
      <c r="C270" s="157"/>
      <c r="H270" s="350" t="s">
        <v>266</v>
      </c>
    </row>
    <row r="271" spans="1:8" ht="14.5">
      <c r="A271" s="348" t="s">
        <v>30</v>
      </c>
      <c r="B271" s="157"/>
      <c r="C271" s="157"/>
      <c r="H271" s="350" t="s">
        <v>267</v>
      </c>
    </row>
    <row r="272" spans="1:8" ht="14.5">
      <c r="A272" s="348" t="s">
        <v>84</v>
      </c>
      <c r="B272" s="157"/>
      <c r="C272" s="157"/>
      <c r="H272" s="350" t="s">
        <v>268</v>
      </c>
    </row>
    <row r="273" spans="1:8" ht="14.5">
      <c r="A273" s="348" t="s">
        <v>86</v>
      </c>
      <c r="B273" s="157"/>
      <c r="C273" s="157"/>
      <c r="H273" s="350" t="s">
        <v>90</v>
      </c>
    </row>
    <row r="274" spans="1:8" ht="14.5">
      <c r="A274" s="351" t="s">
        <v>269</v>
      </c>
      <c r="B274" s="352"/>
      <c r="C274" s="352"/>
      <c r="H274" s="350" t="s">
        <v>270</v>
      </c>
    </row>
    <row r="275" spans="1:8" ht="14.5">
      <c r="A275" s="348" t="s">
        <v>88</v>
      </c>
      <c r="B275" s="157"/>
      <c r="C275" s="157"/>
      <c r="H275" s="350" t="s">
        <v>271</v>
      </c>
    </row>
    <row r="276" spans="1:8" ht="14.5">
      <c r="A276" s="348" t="s">
        <v>90</v>
      </c>
      <c r="B276" s="157"/>
      <c r="C276" s="157"/>
      <c r="H276" s="350" t="s">
        <v>272</v>
      </c>
    </row>
    <row r="277" spans="1:8" ht="14.5">
      <c r="A277" s="353" t="s">
        <v>273</v>
      </c>
      <c r="B277" s="354"/>
      <c r="C277" s="354"/>
      <c r="H277" s="350" t="s">
        <v>274</v>
      </c>
    </row>
    <row r="278" spans="1:8" ht="14.5">
      <c r="A278" s="353" t="s">
        <v>275</v>
      </c>
      <c r="B278" s="354"/>
      <c r="C278" s="354"/>
      <c r="H278" s="355" t="s">
        <v>276</v>
      </c>
    </row>
    <row r="279" spans="1:8" ht="14.5">
      <c r="A279" s="353" t="s">
        <v>277</v>
      </c>
      <c r="B279" s="354"/>
      <c r="C279" s="354"/>
      <c r="H279" s="350" t="s">
        <v>278</v>
      </c>
    </row>
    <row r="280" spans="1:8" ht="15">
      <c r="A280" s="356" t="s">
        <v>279</v>
      </c>
      <c r="B280" s="354"/>
      <c r="C280" s="354"/>
      <c r="H280" s="350" t="s">
        <v>280</v>
      </c>
    </row>
    <row r="281" spans="1:8" ht="94.5">
      <c r="A281" s="143" t="s">
        <v>94</v>
      </c>
      <c r="H281" s="357" t="s">
        <v>281</v>
      </c>
    </row>
    <row r="282" spans="1:8" ht="27">
      <c r="A282" s="143" t="s">
        <v>282</v>
      </c>
      <c r="H282" s="357" t="s">
        <v>283</v>
      </c>
    </row>
    <row r="283" ht="15">
      <c r="A283" s="143" t="s">
        <v>284</v>
      </c>
    </row>
    <row r="284" ht="15">
      <c r="A284" s="143" t="s">
        <v>33</v>
      </c>
    </row>
    <row r="285" ht="15">
      <c r="A285" s="143" t="s">
        <v>5</v>
      </c>
    </row>
    <row r="286" spans="1:8" ht="15">
      <c r="A286" s="143" t="s">
        <v>285</v>
      </c>
      <c r="H286" s="142"/>
    </row>
    <row r="287" ht="15">
      <c r="A287" s="143" t="s">
        <v>79</v>
      </c>
    </row>
    <row r="289" ht="15">
      <c r="A289" s="143" t="s">
        <v>286</v>
      </c>
    </row>
    <row r="291" ht="15">
      <c r="A291" s="143" t="s">
        <v>74</v>
      </c>
    </row>
    <row r="292" ht="15">
      <c r="A292" s="143" t="s">
        <v>76</v>
      </c>
    </row>
    <row r="293" spans="1:9" ht="15">
      <c r="A293" s="143" t="s">
        <v>78</v>
      </c>
      <c r="I293" s="143" t="s">
        <v>287</v>
      </c>
    </row>
    <row r="294" ht="12.75">
      <c r="A294" s="143" t="s">
        <v>79</v>
      </c>
    </row>
    <row r="295" ht="12.75">
      <c r="A295" s="143" t="s">
        <v>288</v>
      </c>
    </row>
    <row r="296" ht="12.75">
      <c r="A296" s="143" t="s">
        <v>30</v>
      </c>
    </row>
    <row r="297" ht="12.75">
      <c r="A297" s="143" t="s">
        <v>84</v>
      </c>
    </row>
    <row r="298" ht="12.75">
      <c r="A298" s="143" t="s">
        <v>86</v>
      </c>
    </row>
    <row r="299" ht="12.75">
      <c r="A299" s="143" t="s">
        <v>88</v>
      </c>
    </row>
    <row r="300" ht="12.75">
      <c r="A300" s="143" t="s">
        <v>90</v>
      </c>
    </row>
    <row r="301" ht="12.75">
      <c r="A301" s="143" t="s">
        <v>273</v>
      </c>
    </row>
    <row r="302" ht="12.75">
      <c r="A302" s="143" t="s">
        <v>94</v>
      </c>
    </row>
    <row r="303" ht="12.75">
      <c r="A303" s="143" t="s">
        <v>277</v>
      </c>
    </row>
    <row r="304" ht="12.75">
      <c r="A304" s="143" t="s">
        <v>5</v>
      </c>
    </row>
    <row r="305" ht="12.75">
      <c r="A305" s="143" t="s">
        <v>33</v>
      </c>
    </row>
    <row r="306" ht="12.75">
      <c r="A306" s="143" t="s">
        <v>285</v>
      </c>
    </row>
    <row r="307" ht="12.75"/>
    <row r="308" ht="12.75"/>
    <row r="309" ht="12.75"/>
    <row r="310" ht="12.75">
      <c r="A310" s="143" t="s">
        <v>289</v>
      </c>
    </row>
    <row r="311" ht="12.75"/>
    <row r="312" ht="12.75"/>
    <row r="313" ht="12.75"/>
    <row r="314" ht="12.75"/>
    <row r="315" ht="12.75"/>
    <row r="316" ht="12.75"/>
    <row r="317" ht="12.75">
      <c r="A317" s="142"/>
    </row>
    <row r="318" ht="12.75"/>
    <row r="319" ht="12.75"/>
    <row r="320" ht="12.75"/>
    <row r="321" ht="12.75"/>
    <row r="322" ht="12.75"/>
    <row r="323" ht="12.75"/>
    <row r="324" ht="12.75">
      <c r="G324" s="142"/>
    </row>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8" spans="6:13" ht="15">
      <c r="F358" s="143" t="s">
        <v>290</v>
      </c>
      <c r="G358" s="143">
        <f>0.3*15</f>
        <v>4.5</v>
      </c>
      <c r="H358" s="143">
        <f>0.34*16.3</f>
        <v>5.542000000000001</v>
      </c>
      <c r="J358" s="143">
        <v>6.1</v>
      </c>
      <c r="K358" s="142" t="s">
        <v>291</v>
      </c>
      <c r="L358" s="142">
        <v>10.6</v>
      </c>
      <c r="M358" s="142" t="s">
        <v>292</v>
      </c>
    </row>
    <row r="361" spans="2:4" ht="15">
      <c r="B361" s="143" t="s">
        <v>293</v>
      </c>
      <c r="C361" s="143" t="s">
        <v>294</v>
      </c>
      <c r="D361" s="143" t="s">
        <v>295</v>
      </c>
    </row>
    <row r="362" spans="1:5" ht="15">
      <c r="A362" s="143">
        <v>2019</v>
      </c>
      <c r="B362" s="143">
        <v>584</v>
      </c>
      <c r="C362" s="143">
        <f>1000*B362/3.6</f>
        <v>162222.22222222222</v>
      </c>
      <c r="D362" s="143">
        <v>34.169</v>
      </c>
      <c r="E362" s="143">
        <f>D362*1000/C362</f>
        <v>0.21063082191780821</v>
      </c>
    </row>
    <row r="366" ht="15">
      <c r="A366" s="143" t="s">
        <v>296</v>
      </c>
    </row>
    <row r="368" spans="1:11" ht="15">
      <c r="A368" s="143">
        <v>2019</v>
      </c>
      <c r="B368" s="143" t="s">
        <v>297</v>
      </c>
      <c r="C368" s="143" t="s">
        <v>298</v>
      </c>
      <c r="D368" s="143" t="s">
        <v>299</v>
      </c>
      <c r="E368" s="143" t="s">
        <v>300</v>
      </c>
      <c r="F368" s="143" t="s">
        <v>301</v>
      </c>
      <c r="G368" s="143" t="s">
        <v>302</v>
      </c>
      <c r="H368" s="143" t="s">
        <v>303</v>
      </c>
      <c r="I368" s="143" t="s">
        <v>304</v>
      </c>
      <c r="J368" s="143" t="s">
        <v>305</v>
      </c>
      <c r="K368" s="143" t="s">
        <v>306</v>
      </c>
    </row>
    <row r="369" spans="1:11" ht="14.5">
      <c r="A369" s="348" t="s">
        <v>74</v>
      </c>
      <c r="B369" s="341">
        <v>639.4000000000001</v>
      </c>
      <c r="C369" s="341">
        <f aca="true" t="shared" si="42" ref="C369:C385">0.6*B369</f>
        <v>383.64000000000004</v>
      </c>
      <c r="D369" s="341">
        <v>700</v>
      </c>
      <c r="E369" s="341"/>
      <c r="F369" s="341"/>
      <c r="G369" s="341">
        <v>95</v>
      </c>
      <c r="H369" s="341">
        <v>300</v>
      </c>
      <c r="I369" s="338">
        <f aca="true" t="shared" si="43" ref="I369:I374">G369/J369</f>
        <v>0.16272696128811234</v>
      </c>
      <c r="J369" s="143">
        <f>0.278*6*350</f>
        <v>583.8000000000001</v>
      </c>
      <c r="K369" s="142" t="s">
        <v>121</v>
      </c>
    </row>
    <row r="370" spans="1:11" ht="14.5">
      <c r="A370" s="348" t="s">
        <v>76</v>
      </c>
      <c r="B370" s="341">
        <v>417.00000000000006</v>
      </c>
      <c r="C370" s="341">
        <f t="shared" si="42"/>
        <v>250.20000000000002</v>
      </c>
      <c r="D370" s="341">
        <v>490</v>
      </c>
      <c r="E370" s="341"/>
      <c r="F370" s="341"/>
      <c r="G370" s="341">
        <v>225</v>
      </c>
      <c r="H370" s="341">
        <v>250</v>
      </c>
      <c r="I370" s="338">
        <f t="shared" si="43"/>
        <v>0.6225788599889319</v>
      </c>
      <c r="J370" s="143">
        <f>0.278*200*6.5</f>
        <v>361.40000000000003</v>
      </c>
      <c r="K370" s="142" t="s">
        <v>122</v>
      </c>
    </row>
    <row r="371" spans="1:11" ht="14.5">
      <c r="A371" s="348" t="s">
        <v>78</v>
      </c>
      <c r="B371" s="341">
        <v>973.0000000000001</v>
      </c>
      <c r="C371" s="341">
        <f t="shared" si="42"/>
        <v>583.8000000000001</v>
      </c>
      <c r="D371" s="341">
        <v>300</v>
      </c>
      <c r="E371" s="341"/>
      <c r="F371" s="341"/>
      <c r="G371" s="341">
        <v>160</v>
      </c>
      <c r="H371" s="341">
        <v>335</v>
      </c>
      <c r="I371" s="338">
        <f t="shared" si="43"/>
        <v>0.35971223021582727</v>
      </c>
      <c r="J371" s="143">
        <f>0.278*1600</f>
        <v>444.80000000000007</v>
      </c>
      <c r="K371" s="142" t="s">
        <v>307</v>
      </c>
    </row>
    <row r="372" spans="1:11" ht="14.5">
      <c r="A372" s="348" t="s">
        <v>79</v>
      </c>
      <c r="B372" s="341">
        <v>806.2</v>
      </c>
      <c r="C372" s="341">
        <f t="shared" si="42"/>
        <v>483.72</v>
      </c>
      <c r="D372" s="341"/>
      <c r="E372" s="341"/>
      <c r="F372" s="341"/>
      <c r="G372" s="341">
        <v>120</v>
      </c>
      <c r="H372" s="341">
        <v>145</v>
      </c>
      <c r="I372" s="338"/>
      <c r="K372" s="142" t="s">
        <v>116</v>
      </c>
    </row>
    <row r="373" spans="1:11" ht="14.5">
      <c r="A373" s="348" t="s">
        <v>81</v>
      </c>
      <c r="B373" s="341">
        <v>287.73</v>
      </c>
      <c r="C373" s="341">
        <f t="shared" si="42"/>
        <v>172.638</v>
      </c>
      <c r="D373" s="341"/>
      <c r="E373" s="341"/>
      <c r="F373" s="341"/>
      <c r="G373" s="341">
        <v>70</v>
      </c>
      <c r="H373" s="341">
        <v>145</v>
      </c>
      <c r="I373" s="338"/>
      <c r="K373" s="142" t="s">
        <v>116</v>
      </c>
    </row>
    <row r="374" spans="1:11" ht="14.5">
      <c r="A374" s="348" t="s">
        <v>30</v>
      </c>
      <c r="B374" s="341">
        <v>159.46080000000003</v>
      </c>
      <c r="C374" s="341">
        <f t="shared" si="42"/>
        <v>95.67648000000001</v>
      </c>
      <c r="D374" s="341">
        <v>60</v>
      </c>
      <c r="E374" s="341" t="s">
        <v>308</v>
      </c>
      <c r="F374" s="341" t="s">
        <v>309</v>
      </c>
      <c r="G374" s="341">
        <v>35</v>
      </c>
      <c r="H374" s="341">
        <v>60</v>
      </c>
      <c r="I374" s="338">
        <f t="shared" si="43"/>
        <v>0.31474820143884885</v>
      </c>
      <c r="J374" s="143">
        <f>400*0.278</f>
        <v>111.20000000000002</v>
      </c>
      <c r="K374" s="142" t="s">
        <v>123</v>
      </c>
    </row>
    <row r="375" spans="1:11" ht="14.5">
      <c r="A375" s="348" t="s">
        <v>84</v>
      </c>
      <c r="B375" s="341">
        <v>221.84400000000005</v>
      </c>
      <c r="C375" s="341">
        <f t="shared" si="42"/>
        <v>133.10640000000004</v>
      </c>
      <c r="D375" s="341" t="s">
        <v>310</v>
      </c>
      <c r="E375" s="341"/>
      <c r="F375" s="341" t="s">
        <v>311</v>
      </c>
      <c r="G375" s="341">
        <v>60</v>
      </c>
      <c r="H375" s="341">
        <v>63</v>
      </c>
      <c r="I375" s="338"/>
      <c r="K375" s="142" t="s">
        <v>116</v>
      </c>
    </row>
    <row r="376" spans="1:11" ht="14.5">
      <c r="A376" s="348" t="s">
        <v>86</v>
      </c>
      <c r="B376" s="341">
        <v>30</v>
      </c>
      <c r="C376" s="341">
        <f t="shared" si="42"/>
        <v>18</v>
      </c>
      <c r="D376" s="341"/>
      <c r="E376" s="341"/>
      <c r="F376" s="341"/>
      <c r="G376" s="341">
        <v>16</v>
      </c>
      <c r="H376" s="341"/>
      <c r="I376" s="338"/>
      <c r="K376" s="142" t="s">
        <v>97</v>
      </c>
    </row>
    <row r="377" spans="1:11" ht="14.5">
      <c r="A377" s="348" t="s">
        <v>88</v>
      </c>
      <c r="B377" s="341">
        <v>5</v>
      </c>
      <c r="C377" s="341">
        <f t="shared" si="42"/>
        <v>3</v>
      </c>
      <c r="D377" s="341"/>
      <c r="E377" s="341"/>
      <c r="F377" s="341"/>
      <c r="G377" s="341"/>
      <c r="H377" s="341"/>
      <c r="I377" s="338"/>
      <c r="K377" s="142" t="s">
        <v>97</v>
      </c>
    </row>
    <row r="378" spans="1:11" ht="14.5">
      <c r="A378" s="348" t="s">
        <v>90</v>
      </c>
      <c r="B378" s="341">
        <v>695.0000000000001</v>
      </c>
      <c r="C378" s="341">
        <f t="shared" si="42"/>
        <v>417.00000000000006</v>
      </c>
      <c r="D378" s="341"/>
      <c r="E378" s="341"/>
      <c r="F378" s="341"/>
      <c r="G378" s="341">
        <v>460</v>
      </c>
      <c r="H378" s="341">
        <v>420</v>
      </c>
      <c r="I378" s="338"/>
      <c r="K378" s="142" t="s">
        <v>312</v>
      </c>
    </row>
    <row r="379" spans="1:11" ht="14.5">
      <c r="A379" s="348" t="s">
        <v>92</v>
      </c>
      <c r="B379" s="341">
        <v>255.76000000000002</v>
      </c>
      <c r="C379" s="341">
        <f t="shared" si="42"/>
        <v>153.45600000000002</v>
      </c>
      <c r="D379" s="341"/>
      <c r="E379" s="341"/>
      <c r="F379" s="341"/>
      <c r="G379" s="341">
        <v>60</v>
      </c>
      <c r="H379" s="341"/>
      <c r="I379" s="338"/>
      <c r="K379" s="142" t="s">
        <v>111</v>
      </c>
    </row>
    <row r="380" spans="1:11" ht="14.5">
      <c r="A380" s="348" t="s">
        <v>94</v>
      </c>
      <c r="B380" s="341">
        <v>333.6</v>
      </c>
      <c r="C380" s="341">
        <f t="shared" si="42"/>
        <v>200.16</v>
      </c>
      <c r="D380" s="341"/>
      <c r="E380" s="341"/>
      <c r="F380" s="341"/>
      <c r="G380" s="341">
        <v>70</v>
      </c>
      <c r="H380" s="341">
        <v>74</v>
      </c>
      <c r="I380" s="338"/>
      <c r="K380" s="142" t="s">
        <v>111</v>
      </c>
    </row>
    <row r="381" spans="1:11" ht="14.5">
      <c r="A381" s="348" t="s">
        <v>96</v>
      </c>
      <c r="B381" s="341">
        <v>200</v>
      </c>
      <c r="C381" s="341">
        <f t="shared" si="42"/>
        <v>120</v>
      </c>
      <c r="D381" s="341"/>
      <c r="E381" s="341"/>
      <c r="F381" s="341"/>
      <c r="G381" s="341">
        <v>120</v>
      </c>
      <c r="H381" s="341"/>
      <c r="I381" s="338"/>
      <c r="K381" s="142" t="s">
        <v>97</v>
      </c>
    </row>
    <row r="382" spans="1:11" ht="14.5">
      <c r="A382" s="157" t="s">
        <v>5</v>
      </c>
      <c r="B382" s="341">
        <v>70.05600000000001</v>
      </c>
      <c r="C382" s="341">
        <f t="shared" si="42"/>
        <v>42.03360000000001</v>
      </c>
      <c r="D382" s="341"/>
      <c r="E382" s="341"/>
      <c r="F382" s="341"/>
      <c r="G382" s="341"/>
      <c r="H382" s="341"/>
      <c r="I382" s="338"/>
      <c r="K382" s="142" t="s">
        <v>124</v>
      </c>
    </row>
    <row r="383" spans="1:11" ht="14.5">
      <c r="A383" s="157" t="s">
        <v>33</v>
      </c>
      <c r="B383" s="341">
        <v>150</v>
      </c>
      <c r="C383" s="341">
        <f t="shared" si="42"/>
        <v>90</v>
      </c>
      <c r="D383" s="341">
        <v>60</v>
      </c>
      <c r="E383" s="341">
        <v>28</v>
      </c>
      <c r="F383" s="341"/>
      <c r="G383" s="341"/>
      <c r="H383" s="341">
        <v>86</v>
      </c>
      <c r="I383" s="338"/>
      <c r="K383" s="142" t="s">
        <v>97</v>
      </c>
    </row>
    <row r="384" spans="1:11" ht="14.5">
      <c r="A384" s="157" t="s">
        <v>101</v>
      </c>
      <c r="B384" s="341">
        <v>1200</v>
      </c>
      <c r="C384" s="341">
        <f t="shared" si="42"/>
        <v>720</v>
      </c>
      <c r="D384" s="341"/>
      <c r="E384" s="341"/>
      <c r="F384" s="341"/>
      <c r="G384" s="341"/>
      <c r="H384" s="341">
        <v>800</v>
      </c>
      <c r="I384" s="338"/>
      <c r="K384" s="142" t="s">
        <v>125</v>
      </c>
    </row>
    <row r="385" spans="1:11" ht="14.5">
      <c r="A385" s="157" t="s">
        <v>16</v>
      </c>
      <c r="B385" s="341">
        <v>50</v>
      </c>
      <c r="C385" s="341">
        <f t="shared" si="42"/>
        <v>30</v>
      </c>
      <c r="D385" s="341"/>
      <c r="E385" s="341">
        <v>46</v>
      </c>
      <c r="F385" s="341"/>
      <c r="G385" s="341"/>
      <c r="H385" s="341"/>
      <c r="I385" s="341"/>
      <c r="K385" s="142" t="s">
        <v>97</v>
      </c>
    </row>
    <row r="388" spans="2:6" ht="15">
      <c r="B388" s="143" t="s">
        <v>313</v>
      </c>
      <c r="C388" s="143" t="s">
        <v>314</v>
      </c>
      <c r="D388" s="143" t="s">
        <v>315</v>
      </c>
      <c r="E388" s="143" t="s">
        <v>316</v>
      </c>
      <c r="F388" s="143" t="s">
        <v>317</v>
      </c>
    </row>
    <row r="389" spans="1:5" ht="15">
      <c r="A389" s="143" t="s">
        <v>318</v>
      </c>
      <c r="B389" s="143">
        <v>158.79</v>
      </c>
      <c r="C389" s="143">
        <v>191.45</v>
      </c>
      <c r="D389" s="143">
        <v>138.66</v>
      </c>
      <c r="E389" s="143">
        <v>576.23</v>
      </c>
    </row>
    <row r="390" spans="1:5" ht="15">
      <c r="A390" s="143" t="s">
        <v>319</v>
      </c>
      <c r="B390" s="143">
        <v>14.5</v>
      </c>
      <c r="C390" s="143">
        <v>12.4</v>
      </c>
      <c r="D390" s="143">
        <v>7.5</v>
      </c>
      <c r="E390" s="143">
        <v>34.08</v>
      </c>
    </row>
    <row r="391" spans="1:6" ht="15">
      <c r="A391" s="143" t="s">
        <v>320</v>
      </c>
      <c r="B391" s="322">
        <f>B390/(0.278*B389)</f>
        <v>0.3284732878726303</v>
      </c>
      <c r="C391" s="322">
        <f>C390/(0.278*C389)</f>
        <v>0.2329815437281932</v>
      </c>
      <c r="D391" s="322">
        <f>D390/(0.278*D389)</f>
        <v>0.19456524784499532</v>
      </c>
      <c r="E391" s="322">
        <f>E390/(0.278*E389)</f>
        <v>0.21274478603605146</v>
      </c>
      <c r="F391" s="143">
        <f>E391*0.278</f>
        <v>0.05914305051802231</v>
      </c>
    </row>
    <row r="396" ht="15">
      <c r="A396" s="143" t="s">
        <v>321</v>
      </c>
    </row>
    <row r="398" ht="15">
      <c r="A398" s="143" t="s">
        <v>322</v>
      </c>
    </row>
    <row r="409" ht="15">
      <c r="C409" s="143">
        <f>1.37*1.37</f>
        <v>1.8769000000000002</v>
      </c>
    </row>
    <row r="421" ht="15">
      <c r="A421" s="143" t="s">
        <v>323</v>
      </c>
    </row>
    <row r="424" ht="12.75">
      <c r="C424" s="142"/>
    </row>
    <row r="426" ht="12.75"/>
    <row r="427" ht="12.75"/>
    <row r="428" ht="12.75"/>
    <row r="429" ht="12.75"/>
    <row r="430" ht="12.75"/>
    <row r="431" ht="12.75"/>
    <row r="432" ht="12.75"/>
    <row r="433" ht="12.75"/>
    <row r="434" ht="12.75"/>
    <row r="435" ht="12.75"/>
    <row r="436" ht="12.75"/>
    <row r="437" ht="12.75"/>
    <row r="438" ht="12.75"/>
    <row r="439" ht="12.75"/>
    <row r="440" ht="12.75"/>
    <row r="449" ht="12.75"/>
    <row r="450" ht="12.75"/>
    <row r="451" ht="12.75"/>
    <row r="452" ht="12.75"/>
    <row r="453" ht="12.75"/>
    <row r="454" ht="12.75"/>
    <row r="455" ht="12.75"/>
    <row r="456" ht="12.75"/>
    <row r="457" ht="12.75"/>
    <row r="458" ht="12.75"/>
    <row r="459" ht="12.75"/>
    <row r="460" ht="12.75"/>
    <row r="461"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sheetData>
  <mergeCells count="4">
    <mergeCell ref="A2:D3"/>
    <mergeCell ref="Q48:T48"/>
    <mergeCell ref="Q68:T68"/>
    <mergeCell ref="Q75:T75"/>
  </mergeCells>
  <conditionalFormatting sqref="D8:P11 D25:P42 D66:P83 D129:P136 D140:P144 G199:L199 D85:P103 D105:P124 Q140 R132 D12:K18">
    <cfRule type="expression" priority="6" dxfId="0">
      <formula>MOD(ROW(),2)</formula>
    </cfRule>
  </conditionalFormatting>
  <conditionalFormatting sqref="D199:F199">
    <cfRule type="expression" priority="5" dxfId="0">
      <formula>MOD(ROW(),2)</formula>
    </cfRule>
  </conditionalFormatting>
  <conditionalFormatting sqref="M200:P201">
    <cfRule type="expression" priority="4" dxfId="0">
      <formula>MOD(ROW(),2)</formula>
    </cfRule>
  </conditionalFormatting>
  <conditionalFormatting sqref="D46:P62">
    <cfRule type="expression" priority="3" dxfId="0">
      <formula>MOD(ROW(),2)</formula>
    </cfRule>
  </conditionalFormatting>
  <conditionalFormatting sqref="L12:P18">
    <cfRule type="expression" priority="2" dxfId="0">
      <formula>MOD(ROW(),2)</formula>
    </cfRule>
  </conditionalFormatting>
  <conditionalFormatting sqref="D19:P19 T19:AF19 AJ19:AV19 AZ19:BL19 BP19:CB19 CF19:CR19 CV19:DH19 DL19:DX19 EB19:EN19 ER19:FD19 FH19:FT19 FX19:GJ19 GN19:GZ19 HD19:HP19 HT19:IF19 IJ19:IV19 IZ19:JL19 JP19:KB19 KF19:KR19 KV19:LH19 LL19:LX19 MB19:MN19 MR19:ND19 NH19:NT19 NX19:OJ19 ON19:OZ19 PD19:PP19 PT19:QF19 QJ19:QV19 QZ19:RL19 RP19:SB19 SF19:SR19 SV19:TH19 TL19:TX19 UB19:UN19 UR19:VD19 VH19:VT19 VX19:WJ19 WN19:WZ19 XD19:XP19 XT19:YF19 YJ19:YV19 YZ19:ZL19 ZP19:AAB19 AAF19:AAR19 AAV19:ABH19 ABL19:ABX19 ACB19:ACN19 ACR19:ADD19 ADH19:ADT19 ADX19:AEJ19 AEN19:AEZ19 AFD19:AFP19 AFT19:AGF19 AGJ19:AGV19 AGZ19:AHL19 AHP19:AIB19 AIF19:AIR19 AIV19:AJH19 AJL19:AJX19 AKB19:AKN19 AKR19:ALD19 ALH19:ALT19 ALX19:AMJ19 AMN19:AMZ19 AND19:ANP19 ANT19:AOF19 AOJ19:AOV19 AOZ19:APL19 APP19:AQB19 AQF19:AQR19 AQV19:ARH19 ARL19:ARX19 ASB19:ASN19 ASR19:ATD19 ATH19:ATT19 ATX19:AUJ19 AUN19:AUZ19 AVD19:AVP19 AVT19:AWF19 AWJ19:AWV19 AWZ19:AXL19 AXP19:AYB19 AYF19:AYR19 AYV19:AZH19 AZL19:AZX19 BAB19:BAN19 BAR19:BBD19 BBH19:BBT19 BBX19:BCJ19 BCN19:BCZ19 BDD19:BDP19 BDT19:BEF19 BEJ19:BEV19 BEZ19:BFL19 BFP19:BGB19 BGF19:BGR19 BGV19:BHH19 BHL19:BHX19 BIB19:BIN19 BIR19:BJD19 BJH19:BJT19 BJX19:BKJ19 BKN19:BKZ19 BLD19:BLP19 BLT19:BMF19 BMJ19:BMV19 BMZ19:BNL19 BNP19:BOB19 BOF19:BOR19 BOV19:BPH19 BPL19:BPX19 BQB19:BQN19 BQR19:BRD19 BRH19:BRT19 BRX19:BSJ19 BSN19:BSZ19 BTD19:BTP19 BTT19:BUF19 BUJ19:BUV19 BUZ19:BVL19 BVP19:BWB19 BWF19:BWR19 BWV19:BXH19 BXL19:BXX19 BYB19:BYN19 BYR19:BZD19 BZH19:BZT19 BZX19:CAJ19 CAN19:CAZ19 CBD19:CBP19 CBT19:CCF19 CCJ19:CCV19 CCZ19:CDL19 CDP19:CEB19 CEF19:CER19 CEV19:CFH19 CFL19:CFX19 CGB19:CGN19 CGR19:CHD19 CHH19:CHT19 CHX19:CIJ19 CIN19:CIZ19 CJD19:CJP19 CJT19:CKF19 CKJ19:CKV19 CKZ19:CLL19 CLP19:CMB19 CMF19:CMR19 CMV19:CNH19 CNL19:CNX19 COB19:CON19 COR19:CPD19 CPH19:CPT19 CPX19:CQJ19 CQN19:CQZ19 CRD19:CRP19 CRT19:CSF19 CSJ19:CSV19 CSZ19:CTL19 CTP19:CUB19 CUF19:CUR19 CUV19:CVH19 CVL19:CVX19 CWB19:CWN19 CWR19:CXD19 CXH19:CXT19 CXX19:CYJ19 CYN19:CYZ19 CZD19:CZP19 CZT19:DAF19 DAJ19:DAV19 DAZ19:DBL19 DBP19:DCB19 DCF19:DCR19 DCV19:DDH19 DDL19:DDX19 DEB19:DEN19 DER19:DFD19 DFH19:DFT19 DFX19:DGJ19 DGN19:DGZ19 DHD19:DHP19 DHT19:DIF19 DIJ19:DIV19 DIZ19:DJL19 DJP19:DKB19 DKF19:DKR19 DKV19:DLH19 DLL19:DLX19 DMB19:DMN19 DMR19:DND19 DNH19:DNT19 DNX19:DOJ19 DON19:DOZ19 DPD19:DPP19 DPT19:DQF19 DQJ19:DQV19 DQZ19:DRL19 DRP19:DSB19 DSF19:DSR19 DSV19:DTH19 DTL19:DTX19 DUB19:DUN19 DUR19:DVD19 DVH19:DVT19 DVX19:DWJ19 DWN19:DWZ19 DXD19:DXP19 DXT19:DYF19 DYJ19:DYV19 DYZ19:DZL19 DZP19:EAB19 EAF19:EAR19 EAV19:EBH19 EBL19:EBX19 ECB19:ECN19 ECR19:EDD19 EDH19:EDT19 EDX19:EEJ19 EEN19:EEZ19 EFD19:EFP19 EFT19:EGF19 EGJ19:EGV19 EGZ19:EHL19 EHP19:EIB19 EIF19:EIR19 EIV19:EJH19 EJL19:EJX19 EKB19:EKN19 EKR19:ELD19 ELH19:ELT19 ELX19:EMJ19 EMN19:EMZ19 END19:ENP19 ENT19:EOF19 EOJ19:EOV19 EOZ19:EPL19 EPP19:EQB19 EQF19:EQR19 EQV19:ERH19 ERL19:ERX19 ESB19:ESN19 ESR19:ETD19 ETH19:ETT19 ETX19:EUJ19 EUN19:EUZ19 EVD19:EVP19 EVT19:EWF19 EWJ19:EWV19 EWZ19:EXL19 EXP19:EYB19 EYF19:EYR19 EYV19:EZH19 EZL19:EZX19 FAB19:FAN19 FAR19:FBD19 FBH19:FBT19 FBX19:FCJ19 FCN19:FCZ19 FDD19:FDP19 FDT19:FEF19 FEJ19:FEV19 FEZ19:FFL19 FFP19:FGB19 FGF19:FGR19 FGV19:FHH19 FHL19:FHX19 FIB19:FIN19 FIR19:FJD19 FJH19:FJT19 FJX19:FKJ19 FKN19:FKZ19 FLD19:FLP19 FLT19:FMF19 FMJ19:FMV19 FMZ19:FNL19 FNP19:FOB19 FOF19:FOR19 FOV19:FPH19 FPL19:FPX19 FQB19:FQN19 FQR19:FRD19 FRH19:FRT19 FRX19:FSJ19 FSN19:FSZ19 FTD19:FTP19 FTT19:FUF19 FUJ19:FUV19 FUZ19:FVL19 FVP19:FWB19 FWF19:FWR19 FWV19:FXH19 FXL19:FXX19 FYB19:FYN19 FYR19:FZD19 FZH19:FZT19 FZX19:GAJ19 GAN19:GAZ19 GBD19:GBP19 GBT19:GCF19 GCJ19:GCV19 GCZ19:GDL19 GDP19:GEB19 GEF19:GER19 GEV19:GFH19 GFL19:GFX19 GGB19:GGN19 GGR19:GHD19 GHH19:GHT19 GHX19:GIJ19 GIN19:GIZ19 GJD19:GJP19 GJT19:GKF19 GKJ19:GKV19 GKZ19:GLL19 GLP19:GMB19 GMF19:GMR19 GMV19:GNH19 GNL19:GNX19 GOB19:GON19 GOR19:GPD19 GPH19:GPT19 GPX19:GQJ19 GQN19:GQZ19 GRD19:GRP19 GRT19:GSF19 GSJ19:GSV19 GSZ19:GTL19 GTP19:GUB19 GUF19:GUR19 GUV19:GVH19 GVL19:GVX19 GWB19:GWN19 GWR19:GXD19 GXH19:GXT19 GXX19:GYJ19 GYN19:GYZ19 GZD19:GZP19 GZT19:HAF19 HAJ19:HAV19 HAZ19:HBL19 HBP19:HCB19 HCF19:HCR19 HCV19:HDH19 HDL19:HDX19 HEB19:HEN19 HER19:HFD19 HFH19:HFT19 HFX19:HGJ19 HGN19:HGZ19 HHD19:HHP19 HHT19:HIF19 HIJ19:HIV19 HIZ19:HJL19 HJP19:HKB19 HKF19:HKR19 HKV19:HLH19 HLL19:HLX19 HMB19:HMN19 HMR19:HND19 HNH19:HNT19 HNX19:HOJ19 HON19:HOZ19 HPD19:HPP19 HPT19:HQF19 HQJ19:HQV19 HQZ19:HRL19 HRP19:HSB19 HSF19:HSR19 HSV19:HTH19 HTL19:HTX19 HUB19:HUN19 HUR19:HVD19 HVH19:HVT19 HVX19:HWJ19 HWN19:HWZ19 HXD19:HXP19 HXT19:HYF19 HYJ19:HYV19 HYZ19:HZL19 HZP19:IAB19 IAF19:IAR19 IAV19:IBH19 IBL19:IBX19 ICB19:ICN19 ICR19:IDD19 IDH19:IDT19 IDX19:IEJ19 IEN19:IEZ19 IFD19:IFP19 IFT19:IGF19 IGJ19:IGV19 IGZ19:IHL19 IHP19:IIB19 IIF19:IIR19 IIV19:IJH19 IJL19:IJX19 IKB19:IKN19 IKR19:ILD19 ILH19:ILT19 ILX19:IMJ19 IMN19:IMZ19 IND19:INP19 INT19:IOF19 IOJ19:IOV19 IOZ19:IPL19 IPP19:IQB19 IQF19:IQR19 IQV19:IRH19 IRL19:IRX19 ISB19:ISN19 ISR19:ITD19 ITH19:ITT19 ITX19:IUJ19 IUN19:IUZ19 IVD19:IVP19 IVT19:IWF19 IWJ19:IWV19 IWZ19:IXL19 IXP19:IYB19 IYF19:IYR19 IYV19:IZH19 IZL19:IZX19 JAB19:JAN19 JAR19:JBD19 JBH19:JBT19 JBX19:JCJ19 JCN19:JCZ19 JDD19:JDP19 JDT19:JEF19 JEJ19:JEV19 JEZ19:JFL19 JFP19:JGB19 JGF19:JGR19 JGV19:JHH19 JHL19:JHX19 JIB19:JIN19 JIR19:JJD19 JJH19:JJT19 JJX19:JKJ19 JKN19:JKZ19 JLD19:JLP19 JLT19:JMF19 JMJ19:JMV19 JMZ19:JNL19 JNP19:JOB19 JOF19:JOR19 JOV19:JPH19 JPL19:JPX19 JQB19:JQN19 JQR19:JRD19 JRH19:JRT19 JRX19:JSJ19 JSN19:JSZ19 JTD19:JTP19 JTT19:JUF19 JUJ19:JUV19 JUZ19:JVL19 JVP19:JWB19 JWF19:JWR19 JWV19:JXH19 JXL19:JXX19 JYB19:JYN19 JYR19:JZD19 JZH19:JZT19 JZX19:KAJ19 KAN19:KAZ19 KBD19:KBP19 KBT19:KCF19 KCJ19:KCV19 KCZ19:KDL19 KDP19:KEB19 KEF19:KER19 KEV19:KFH19 KFL19:KFX19 KGB19:KGN19 KGR19:KHD19 KHH19:KHT19 KHX19:KIJ19 KIN19:KIZ19 KJD19:KJP19 KJT19:KKF19 KKJ19:KKV19 KKZ19:KLL19 KLP19:KMB19 KMF19:KMR19 KMV19:KNH19 KNL19:KNX19 KOB19:KON19 KOR19:KPD19 KPH19:KPT19 KPX19:KQJ19 KQN19:KQZ19 KRD19:KRP19 KRT19:KSF19 KSJ19:KSV19 KSZ19:KTL19 KTP19:KUB19 KUF19:KUR19 KUV19:KVH19 KVL19:KVX19 KWB19:KWN19 KWR19:KXD19 KXH19:KXT19 KXX19:KYJ19 KYN19:KYZ19 KZD19:KZP19 KZT19:LAF19 LAJ19:LAV19 LAZ19:LBL19 LBP19:LCB19 LCF19:LCR19 LCV19:LDH19 LDL19:LDX19 LEB19:LEN19 LER19:LFD19 LFH19:LFT19 LFX19:LGJ19 LGN19:LGZ19 LHD19:LHP19 LHT19:LIF19 LIJ19:LIV19 LIZ19:LJL19 LJP19:LKB19 LKF19:LKR19 LKV19:LLH19 LLL19:LLX19 LMB19:LMN19 LMR19:LND19 LNH19:LNT19 LNX19:LOJ19 LON19:LOZ19 LPD19:LPP19 LPT19:LQF19 LQJ19:LQV19 LQZ19:LRL19 LRP19:LSB19 LSF19:LSR19 LSV19:LTH19 LTL19:LTX19 LUB19:LUN19 LUR19:LVD19 LVH19:LVT19 LVX19:LWJ19 LWN19:LWZ19 LXD19:LXP19 LXT19:LYF19 LYJ19:LYV19 LYZ19:LZL19 LZP19:MAB19 MAF19:MAR19 MAV19:MBH19 MBL19:MBX19 MCB19:MCN19 MCR19:MDD19 MDH19:MDT19 MDX19:MEJ19 MEN19:MEZ19 MFD19:MFP19 MFT19:MGF19 MGJ19:MGV19 MGZ19:MHL19 MHP19:MIB19 MIF19:MIR19 MIV19:MJH19 MJL19:MJX19 MKB19:MKN19 MKR19:MLD19 MLH19:MLT19 MLX19:MMJ19 MMN19:MMZ19 MND19:MNP19 MNT19:MOF19 MOJ19:MOV19 MOZ19:MPL19 MPP19:MQB19 MQF19:MQR19 MQV19:MRH19 MRL19:MRX19 MSB19:MSN19 MSR19:MTD19 MTH19:MTT19 MTX19:MUJ19 MUN19:MUZ19 MVD19:MVP19 MVT19:MWF19 MWJ19:MWV19 MWZ19:MXL19 MXP19:MYB19 MYF19:MYR19 MYV19:MZH19 MZL19:MZX19 NAB19:NAN19 NAR19:NBD19 NBH19:NBT19 NBX19:NCJ19 NCN19:NCZ19 NDD19:NDP19 NDT19:NEF19 NEJ19:NEV19 NEZ19:NFL19 NFP19:NGB19 NGF19:NGR19 NGV19:NHH19 NHL19:NHX19 NIB19:NIN19 NIR19:NJD19 NJH19:NJT19 NJX19:NKJ19 NKN19:NKZ19 NLD19:NLP19 NLT19:NMF19 NMJ19:NMV19 NMZ19:NNL19 NNP19:NOB19 NOF19:NOR19 NOV19:NPH19 NPL19:NPX19 NQB19:NQN19 NQR19:NRD19 NRH19:NRT19 NRX19:NSJ19 NSN19:NSZ19 NTD19:NTP19 NTT19:NUF19 NUJ19:NUV19 NUZ19:NVL19 NVP19:NWB19 NWF19:NWR19 NWV19:NXH19 NXL19:NXX19 NYB19:NYN19 NYR19:NZD19 NZH19:NZT19 NZX19:OAJ19 OAN19:OAZ19 OBD19:OBP19 OBT19:OCF19 OCJ19:OCV19 OCZ19:ODL19 ODP19:OEB19 OEF19:OER19 OEV19:OFH19 OFL19:OFX19 OGB19:OGN19 OGR19:OHD19 OHH19:OHT19 OHX19:OIJ19 OIN19:OIZ19 OJD19:OJP19 OJT19:OKF19 OKJ19:OKV19 OKZ19:OLL19 OLP19:OMB19 OMF19:OMR19 OMV19:ONH19 ONL19:ONX19 OOB19:OON19 OOR19:OPD19 OPH19:OPT19 OPX19:OQJ19 OQN19:OQZ19 ORD19:ORP19 ORT19:OSF19 OSJ19:OSV19 OSZ19:OTL19 OTP19:OUB19 OUF19:OUR19 OUV19:OVH19 OVL19:OVX19 OWB19:OWN19 OWR19:OXD19 OXH19:OXT19 OXX19:OYJ19 OYN19:OYZ19 OZD19:OZP19 OZT19:PAF19 PAJ19:PAV19 PAZ19:PBL19 PBP19:PCB19 PCF19:PCR19 PCV19:PDH19 PDL19:PDX19 PEB19:PEN19 PER19:PFD19 PFH19:PFT19 PFX19:PGJ19 PGN19:PGZ19 PHD19:PHP19 PHT19:PIF19 PIJ19:PIV19 PIZ19:PJL19 PJP19:PKB19 PKF19:PKR19 PKV19:PLH19 PLL19:PLX19 PMB19:PMN19 PMR19:PND19 PNH19:PNT19 PNX19:POJ19 PON19:POZ19 PPD19:PPP19 PPT19:PQF19 PQJ19:PQV19 PQZ19:PRL19 PRP19:PSB19 PSF19:PSR19 PSV19:PTH19 PTL19:PTX19 PUB19:PUN19 PUR19:PVD19 PVH19:PVT19 PVX19:PWJ19 PWN19:PWZ19 PXD19:PXP19 PXT19:PYF19 PYJ19:PYV19 PYZ19:PZL19 PZP19:QAB19 QAF19:QAR19 QAV19:QBH19 QBL19:QBX19 QCB19:QCN19 QCR19:QDD19 QDH19:QDT19 QDX19:QEJ19 QEN19:QEZ19 QFD19:QFP19 QFT19:QGF19 QGJ19:QGV19 QGZ19:QHL19 QHP19:QIB19 QIF19:QIR19 QIV19:QJH19 QJL19:QJX19 QKB19:QKN19 QKR19:QLD19 QLH19:QLT19 QLX19:QMJ19 QMN19:QMZ19 QND19:QNP19 QNT19:QOF19 QOJ19:QOV19 QOZ19:QPL19 QPP19:QQB19 QQF19:QQR19 QQV19:QRH19 QRL19:QRX19 QSB19:QSN19 QSR19:QTD19 QTH19:QTT19 QTX19:QUJ19 QUN19:QUZ19 QVD19:QVP19 QVT19:QWF19 QWJ19:QWV19 QWZ19:QXL19 QXP19:QYB19 QYF19:QYR19 QYV19:QZH19 QZL19:QZX19 RAB19:RAN19 RAR19:RBD19 RBH19:RBT19 RBX19:RCJ19 RCN19:RCZ19 RDD19:RDP19 RDT19:REF19 REJ19:REV19 REZ19:RFL19 RFP19:RGB19 RGF19:RGR19 RGV19:RHH19 RHL19:RHX19 RIB19:RIN19 RIR19:RJD19 RJH19:RJT19 RJX19:RKJ19 RKN19:RKZ19 RLD19:RLP19 RLT19:RMF19 RMJ19:RMV19 RMZ19:RNL19 RNP19:ROB19 ROF19:ROR19 ROV19:RPH19 RPL19:RPX19 RQB19:RQN19 RQR19:RRD19 RRH19:RRT19 RRX19:RSJ19 RSN19:RSZ19 RTD19:RTP19 RTT19:RUF19 RUJ19:RUV19 RUZ19:RVL19 RVP19:RWB19 RWF19:RWR19 RWV19:RXH19 RXL19:RXX19 RYB19:RYN19 RYR19:RZD19 RZH19:RZT19 RZX19:SAJ19 SAN19:SAZ19 SBD19:SBP19 SBT19:SCF19 SCJ19:SCV19 SCZ19:SDL19 SDP19:SEB19 SEF19:SER19 SEV19:SFH19 SFL19:SFX19 SGB19:SGN19 SGR19:SHD19 SHH19:SHT19 SHX19:SIJ19 SIN19:SIZ19 SJD19:SJP19 SJT19:SKF19 SKJ19:SKV19 SKZ19:SLL19 SLP19:SMB19 SMF19:SMR19 SMV19:SNH19 SNL19:SNX19 SOB19:SON19 SOR19:SPD19 SPH19:SPT19 SPX19:SQJ19 SQN19:SQZ19 SRD19:SRP19 SRT19:SSF19 SSJ19:SSV19 SSZ19:STL19 STP19:SUB19 SUF19:SUR19 SUV19:SVH19 SVL19:SVX19 SWB19:SWN19 SWR19:SXD19 SXH19:SXT19 SXX19:SYJ19 SYN19:SYZ19 SZD19:SZP19 SZT19:TAF19 TAJ19:TAV19 TAZ19:TBL19 TBP19:TCB19 TCF19:TCR19 TCV19:TDH19 TDL19:TDX19 TEB19:TEN19 TER19:TFD19 TFH19:TFT19 TFX19:TGJ19 TGN19:TGZ19 THD19:THP19 THT19:TIF19 TIJ19:TIV19 TIZ19:TJL19 TJP19:TKB19 TKF19:TKR19 TKV19:TLH19 TLL19:TLX19 TMB19:TMN19 TMR19:TND19 TNH19:TNT19 TNX19:TOJ19 TON19:TOZ19 TPD19:TPP19 TPT19:TQF19 TQJ19:TQV19 TQZ19:TRL19 TRP19:TSB19 TSF19:TSR19 TSV19:TTH19 TTL19:TTX19 TUB19:TUN19 TUR19:TVD19 TVH19:TVT19 TVX19:TWJ19 TWN19:TWZ19 TXD19:TXP19 TXT19:TYF19 TYJ19:TYV19 TYZ19:TZL19 TZP19:UAB19 UAF19:UAR19 UAV19:UBH19 UBL19:UBX19 UCB19:UCN19 UCR19:UDD19 UDH19:UDT19 UDX19:UEJ19 UEN19:UEZ19 UFD19:UFP19 UFT19:UGF19 UGJ19:UGV19 UGZ19:UHL19 UHP19:UIB19 UIF19:UIR19 UIV19:UJH19 UJL19:UJX19 UKB19:UKN19 UKR19:ULD19 ULH19:ULT19 ULX19:UMJ19 UMN19:UMZ19 UND19:UNP19 UNT19:UOF19 UOJ19:UOV19 UOZ19:UPL19 UPP19:UQB19 UQF19:UQR19 UQV19:URH19 URL19:URX19 USB19:USN19 USR19:UTD19 UTH19:UTT19 UTX19:UUJ19 UUN19:UUZ19 UVD19:UVP19 UVT19:UWF19 UWJ19:UWV19 UWZ19:UXL19 UXP19:UYB19 UYF19:UYR19 UYV19:UZH19 UZL19:UZX19 VAB19:VAN19 VAR19:VBD19 VBH19:VBT19 VBX19:VCJ19 VCN19:VCZ19 VDD19:VDP19 VDT19:VEF19 VEJ19:VEV19 VEZ19:VFL19 VFP19:VGB19 VGF19:VGR19 VGV19:VHH19 VHL19:VHX19 VIB19:VIN19 VIR19:VJD19 VJH19:VJT19 VJX19:VKJ19 VKN19:VKZ19 VLD19:VLP19 VLT19:VMF19 VMJ19:VMV19 VMZ19:VNL19 VNP19:VOB19 VOF19:VOR19 VOV19:VPH19 VPL19:VPX19 VQB19:VQN19 VQR19:VRD19 VRH19:VRT19 VRX19:VSJ19 VSN19:VSZ19 VTD19:VTP19 VTT19:VUF19 VUJ19:VUV19 VUZ19:VVL19 VVP19:VWB19 VWF19:VWR19 VWV19:VXH19 VXL19:VXX19 VYB19:VYN19 VYR19:VZD19 VZH19:VZT19 VZX19:WAJ19 WAN19:WAZ19 WBD19:WBP19 WBT19:WCF19 WCJ19:WCV19 WCZ19:WDL19 WDP19:WEB19 WEF19:WER19 WEV19:WFH19 WFL19:WFX19 WGB19:WGN19 WGR19:WHD19 WHH19:WHT19 WHX19:WIJ19 WIN19:WIZ19 WJD19:WJP19 WJT19:WKF19 WKJ19:WKV19 WKZ19:WLL19 WLP19:WMB19 WMF19:WMR19 WMV19:WNH19 WNL19:WNX19 WOB19:WON19 WOR19:WPD19 WPH19:WPT19 WPX19:WQJ19 WQN19:WQZ19 WRD19:WRP19 WRT19:WSF19 WSJ19:WSV19 WSZ19:WTL19 WTP19:WUB19 WUF19:WUR19 WUV19:WVH19 WVL19:WVX19 WWB19:WWN19 WWR19:WXD19 WXH19:WXT19 WXX19:WYJ19 WYN19:WYZ19 WZD19:WZP19 WZT19:XAF19 XAJ19:XAV19 XAZ19:XBL19 XBP19:XCB19 XCF19:XCR19 XCV19:XDH19 XDL19:XDX19 XEB19:XEN19 XER19:XFD19">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6">
            <xm:f>MOD(ROW(),2)</xm:f>
            <x14:dxf>
              <fill>
                <patternFill patternType="solid">
                  <fgColor theme="5" tint="0.5999600291252136"/>
                  <bgColor theme="5" tint="0.5999600291252136"/>
                </patternFill>
              </fill>
            </x14:dxf>
          </x14:cfRule>
          <xm:sqref>D8:P11 D25:P42 D66:P83 D129:P136 D140:P144 G199:L199 D85:P103 D105:P124 Q140 R132 D12:K18</xm:sqref>
        </x14:conditionalFormatting>
        <x14:conditionalFormatting xmlns:xm="http://schemas.microsoft.com/office/excel/2006/main">
          <x14:cfRule type="expression" priority="5">
            <xm:f>MOD(ROW(),2)</xm:f>
            <x14:dxf>
              <fill>
                <patternFill patternType="solid">
                  <fgColor theme="5" tint="0.5999600291252136"/>
                  <bgColor theme="5" tint="0.5999600291252136"/>
                </patternFill>
              </fill>
            </x14:dxf>
          </x14:cfRule>
          <xm:sqref>D199:F199</xm:sqref>
        </x14:conditionalFormatting>
        <x14:conditionalFormatting xmlns:xm="http://schemas.microsoft.com/office/excel/2006/main">
          <x14:cfRule type="expression" priority="4">
            <xm:f>MOD(ROW(),2)</xm:f>
            <x14:dxf>
              <fill>
                <patternFill patternType="solid">
                  <fgColor theme="5" tint="0.5999600291252136"/>
                  <bgColor theme="5" tint="0.5999600291252136"/>
                </patternFill>
              </fill>
            </x14:dxf>
          </x14:cfRule>
          <xm:sqref>M200:P201</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D46:P62</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L12:P18</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D19:P19 T19:AF19 AJ19:AV19 AZ19:BL19 BP19:CB19 CF19:CR19 CV19:DH19 DL19:DX19 EB19:EN19 ER19:FD19 FH19:FT19 FX19:GJ19 GN19:GZ19 HD19:HP19 HT19:IF19 IJ19:IV19 IZ19:JL19 JP19:KB19 KF19:KR19 KV19:LH19 LL19:LX19 MB19:MN19 MR19:ND19 NH19:NT19 NX19:OJ19 ON19:OZ19 PD19:PP19 PT19:QF19 QJ19:QV19 QZ19:RL19 RP19:SB19 SF19:SR19 SV19:TH19 TL19:TX19 UB19:UN19 UR19:VD19 VH19:VT19 VX19:WJ19 WN19:WZ19 XD19:XP19 XT19:YF19 YJ19:YV19 YZ19:ZL19 ZP19:AAB19 AAF19:AAR19 AAV19:ABH19 ABL19:ABX19 ACB19:ACN19 ACR19:ADD19 ADH19:ADT19 ADX19:AEJ19 AEN19:AEZ19 AFD19:AFP19 AFT19:AGF19 AGJ19:AGV19 AGZ19:AHL19 AHP19:AIB19 AIF19:AIR19 AIV19:AJH19 AJL19:AJX19 AKB19:AKN19 AKR19:ALD19 ALH19:ALT19 ALX19:AMJ19 AMN19:AMZ19 AND19:ANP19 ANT19:AOF19 AOJ19:AOV19 AOZ19:APL19 APP19:AQB19 AQF19:AQR19 AQV19:ARH19 ARL19:ARX19 ASB19:ASN19 ASR19:ATD19 ATH19:ATT19 ATX19:AUJ19 AUN19:AUZ19 AVD19:AVP19 AVT19:AWF19 AWJ19:AWV19 AWZ19:AXL19 AXP19:AYB19 AYF19:AYR19 AYV19:AZH19 AZL19:AZX19 BAB19:BAN19 BAR19:BBD19 BBH19:BBT19 BBX19:BCJ19 BCN19:BCZ19 BDD19:BDP19 BDT19:BEF19 BEJ19:BEV19 BEZ19:BFL19 BFP19:BGB19 BGF19:BGR19 BGV19:BHH19 BHL19:BHX19 BIB19:BIN19 BIR19:BJD19 BJH19:BJT19 BJX19:BKJ19 BKN19:BKZ19 BLD19:BLP19 BLT19:BMF19 BMJ19:BMV19 BMZ19:BNL19 BNP19:BOB19 BOF19:BOR19 BOV19:BPH19 BPL19:BPX19 BQB19:BQN19 BQR19:BRD19 BRH19:BRT19 BRX19:BSJ19 BSN19:BSZ19 BTD19:BTP19 BTT19:BUF19 BUJ19:BUV19 BUZ19:BVL19 BVP19:BWB19 BWF19:BWR19 BWV19:BXH19 BXL19:BXX19 BYB19:BYN19 BYR19:BZD19 BZH19:BZT19 BZX19:CAJ19 CAN19:CAZ19 CBD19:CBP19 CBT19:CCF19 CCJ19:CCV19 CCZ19:CDL19 CDP19:CEB19 CEF19:CER19 CEV19:CFH19 CFL19:CFX19 CGB19:CGN19 CGR19:CHD19 CHH19:CHT19 CHX19:CIJ19 CIN19:CIZ19 CJD19:CJP19 CJT19:CKF19 CKJ19:CKV19 CKZ19:CLL19 CLP19:CMB19 CMF19:CMR19 CMV19:CNH19 CNL19:CNX19 COB19:CON19 COR19:CPD19 CPH19:CPT19 CPX19:CQJ19 CQN19:CQZ19 CRD19:CRP19 CRT19:CSF19 CSJ19:CSV19 CSZ19:CTL19 CTP19:CUB19 CUF19:CUR19 CUV19:CVH19 CVL19:CVX19 CWB19:CWN19 CWR19:CXD19 CXH19:CXT19 CXX19:CYJ19 CYN19:CYZ19 CZD19:CZP19 CZT19:DAF19 DAJ19:DAV19 DAZ19:DBL19 DBP19:DCB19 DCF19:DCR19 DCV19:DDH19 DDL19:DDX19 DEB19:DEN19 DER19:DFD19 DFH19:DFT19 DFX19:DGJ19 DGN19:DGZ19 DHD19:DHP19 DHT19:DIF19 DIJ19:DIV19 DIZ19:DJL19 DJP19:DKB19 DKF19:DKR19 DKV19:DLH19 DLL19:DLX19 DMB19:DMN19 DMR19:DND19 DNH19:DNT19 DNX19:DOJ19 DON19:DOZ19 DPD19:DPP19 DPT19:DQF19 DQJ19:DQV19 DQZ19:DRL19 DRP19:DSB19 DSF19:DSR19 DSV19:DTH19 DTL19:DTX19 DUB19:DUN19 DUR19:DVD19 DVH19:DVT19 DVX19:DWJ19 DWN19:DWZ19 DXD19:DXP19 DXT19:DYF19 DYJ19:DYV19 DYZ19:DZL19 DZP19:EAB19 EAF19:EAR19 EAV19:EBH19 EBL19:EBX19 ECB19:ECN19 ECR19:EDD19 EDH19:EDT19 EDX19:EEJ19 EEN19:EEZ19 EFD19:EFP19 EFT19:EGF19 EGJ19:EGV19 EGZ19:EHL19 EHP19:EIB19 EIF19:EIR19 EIV19:EJH19 EJL19:EJX19 EKB19:EKN19 EKR19:ELD19 ELH19:ELT19 ELX19:EMJ19 EMN19:EMZ19 END19:ENP19 ENT19:EOF19 EOJ19:EOV19 EOZ19:EPL19 EPP19:EQB19 EQF19:EQR19 EQV19:ERH19 ERL19:ERX19 ESB19:ESN19 ESR19:ETD19 ETH19:ETT19 ETX19:EUJ19 EUN19:EUZ19 EVD19:EVP19 EVT19:EWF19 EWJ19:EWV19 EWZ19:EXL19 EXP19:EYB19 EYF19:EYR19 EYV19:EZH19 EZL19:EZX19 FAB19:FAN19 FAR19:FBD19 FBH19:FBT19 FBX19:FCJ19 FCN19:FCZ19 FDD19:FDP19 FDT19:FEF19 FEJ19:FEV19 FEZ19:FFL19 FFP19:FGB19 FGF19:FGR19 FGV19:FHH19 FHL19:FHX19 FIB19:FIN19 FIR19:FJD19 FJH19:FJT19 FJX19:FKJ19 FKN19:FKZ19 FLD19:FLP19 FLT19:FMF19 FMJ19:FMV19 FMZ19:FNL19 FNP19:FOB19 FOF19:FOR19 FOV19:FPH19 FPL19:FPX19 FQB19:FQN19 FQR19:FRD19 FRH19:FRT19 FRX19:FSJ19 FSN19:FSZ19 FTD19:FTP19 FTT19:FUF19 FUJ19:FUV19 FUZ19:FVL19 FVP19:FWB19 FWF19:FWR19 FWV19:FXH19 FXL19:FXX19 FYB19:FYN19 FYR19:FZD19 FZH19:FZT19 FZX19:GAJ19 GAN19:GAZ19 GBD19:GBP19 GBT19:GCF19 GCJ19:GCV19 GCZ19:GDL19 GDP19:GEB19 GEF19:GER19 GEV19:GFH19 GFL19:GFX19 GGB19:GGN19 GGR19:GHD19 GHH19:GHT19 GHX19:GIJ19 GIN19:GIZ19 GJD19:GJP19 GJT19:GKF19 GKJ19:GKV19 GKZ19:GLL19 GLP19:GMB19 GMF19:GMR19 GMV19:GNH19 GNL19:GNX19 GOB19:GON19 GOR19:GPD19 GPH19:GPT19 GPX19:GQJ19 GQN19:GQZ19 GRD19:GRP19 GRT19:GSF19 GSJ19:GSV19 GSZ19:GTL19 GTP19:GUB19 GUF19:GUR19 GUV19:GVH19 GVL19:GVX19 GWB19:GWN19 GWR19:GXD19 GXH19:GXT19 GXX19:GYJ19 GYN19:GYZ19 GZD19:GZP19 GZT19:HAF19 HAJ19:HAV19 HAZ19:HBL19 HBP19:HCB19 HCF19:HCR19 HCV19:HDH19 HDL19:HDX19 HEB19:HEN19 HER19:HFD19 HFH19:HFT19 HFX19:HGJ19 HGN19:HGZ19 HHD19:HHP19 HHT19:HIF19 HIJ19:HIV19 HIZ19:HJL19 HJP19:HKB19 HKF19:HKR19 HKV19:HLH19 HLL19:HLX19 HMB19:HMN19 HMR19:HND19 HNH19:HNT19 HNX19:HOJ19 HON19:HOZ19 HPD19:HPP19 HPT19:HQF19 HQJ19:HQV19 HQZ19:HRL19 HRP19:HSB19 HSF19:HSR19 HSV19:HTH19 HTL19:HTX19 HUB19:HUN19 HUR19:HVD19 HVH19:HVT19 HVX19:HWJ19 HWN19:HWZ19 HXD19:HXP19 HXT19:HYF19 HYJ19:HYV19 HYZ19:HZL19 HZP19:IAB19 IAF19:IAR19 IAV19:IBH19 IBL19:IBX19 ICB19:ICN19 ICR19:IDD19 IDH19:IDT19 IDX19:IEJ19 IEN19:IEZ19 IFD19:IFP19 IFT19:IGF19 IGJ19:IGV19 IGZ19:IHL19 IHP19:IIB19 IIF19:IIR19 IIV19:IJH19 IJL19:IJX19 IKB19:IKN19 IKR19:ILD19 ILH19:ILT19 ILX19:IMJ19 IMN19:IMZ19 IND19:INP19 INT19:IOF19 IOJ19:IOV19 IOZ19:IPL19 IPP19:IQB19 IQF19:IQR19 IQV19:IRH19 IRL19:IRX19 ISB19:ISN19 ISR19:ITD19 ITH19:ITT19 ITX19:IUJ19 IUN19:IUZ19 IVD19:IVP19 IVT19:IWF19 IWJ19:IWV19 IWZ19:IXL19 IXP19:IYB19 IYF19:IYR19 IYV19:IZH19 IZL19:IZX19 JAB19:JAN19 JAR19:JBD19 JBH19:JBT19 JBX19:JCJ19 JCN19:JCZ19 JDD19:JDP19 JDT19:JEF19 JEJ19:JEV19 JEZ19:JFL19 JFP19:JGB19 JGF19:JGR19 JGV19:JHH19 JHL19:JHX19 JIB19:JIN19 JIR19:JJD19 JJH19:JJT19 JJX19:JKJ19 JKN19:JKZ19 JLD19:JLP19 JLT19:JMF19 JMJ19:JMV19 JMZ19:JNL19 JNP19:JOB19 JOF19:JOR19 JOV19:JPH19 JPL19:JPX19 JQB19:JQN19 JQR19:JRD19 JRH19:JRT19 JRX19:JSJ19 JSN19:JSZ19 JTD19:JTP19 JTT19:JUF19 JUJ19:JUV19 JUZ19:JVL19 JVP19:JWB19 JWF19:JWR19 JWV19:JXH19 JXL19:JXX19 JYB19:JYN19 JYR19:JZD19 JZH19:JZT19 JZX19:KAJ19 KAN19:KAZ19 KBD19:KBP19 KBT19:KCF19 KCJ19:KCV19 KCZ19:KDL19 KDP19:KEB19 KEF19:KER19 KEV19:KFH19 KFL19:KFX19 KGB19:KGN19 KGR19:KHD19 KHH19:KHT19 KHX19:KIJ19 KIN19:KIZ19 KJD19:KJP19 KJT19:KKF19 KKJ19:KKV19 KKZ19:KLL19 KLP19:KMB19 KMF19:KMR19 KMV19:KNH19 KNL19:KNX19 KOB19:KON19 KOR19:KPD19 KPH19:KPT19 KPX19:KQJ19 KQN19:KQZ19 KRD19:KRP19 KRT19:KSF19 KSJ19:KSV19 KSZ19:KTL19 KTP19:KUB19 KUF19:KUR19 KUV19:KVH19 KVL19:KVX19 KWB19:KWN19 KWR19:KXD19 KXH19:KXT19 KXX19:KYJ19 KYN19:KYZ19 KZD19:KZP19 KZT19:LAF19 LAJ19:LAV19 LAZ19:LBL19 LBP19:LCB19 LCF19:LCR19 LCV19:LDH19 LDL19:LDX19 LEB19:LEN19 LER19:LFD19 LFH19:LFT19 LFX19:LGJ19 LGN19:LGZ19 LHD19:LHP19 LHT19:LIF19 LIJ19:LIV19 LIZ19:LJL19 LJP19:LKB19 LKF19:LKR19 LKV19:LLH19 LLL19:LLX19 LMB19:LMN19 LMR19:LND19 LNH19:LNT19 LNX19:LOJ19 LON19:LOZ19 LPD19:LPP19 LPT19:LQF19 LQJ19:LQV19 LQZ19:LRL19 LRP19:LSB19 LSF19:LSR19 LSV19:LTH19 LTL19:LTX19 LUB19:LUN19 LUR19:LVD19 LVH19:LVT19 LVX19:LWJ19 LWN19:LWZ19 LXD19:LXP19 LXT19:LYF19 LYJ19:LYV19 LYZ19:LZL19 LZP19:MAB19 MAF19:MAR19 MAV19:MBH19 MBL19:MBX19 MCB19:MCN19 MCR19:MDD19 MDH19:MDT19 MDX19:MEJ19 MEN19:MEZ19 MFD19:MFP19 MFT19:MGF19 MGJ19:MGV19 MGZ19:MHL19 MHP19:MIB19 MIF19:MIR19 MIV19:MJH19 MJL19:MJX19 MKB19:MKN19 MKR19:MLD19 MLH19:MLT19 MLX19:MMJ19 MMN19:MMZ19 MND19:MNP19 MNT19:MOF19 MOJ19:MOV19 MOZ19:MPL19 MPP19:MQB19 MQF19:MQR19 MQV19:MRH19 MRL19:MRX19 MSB19:MSN19 MSR19:MTD19 MTH19:MTT19 MTX19:MUJ19 MUN19:MUZ19 MVD19:MVP19 MVT19:MWF19 MWJ19:MWV19 MWZ19:MXL19 MXP19:MYB19 MYF19:MYR19 MYV19:MZH19 MZL19:MZX19 NAB19:NAN19 NAR19:NBD19 NBH19:NBT19 NBX19:NCJ19 NCN19:NCZ19 NDD19:NDP19 NDT19:NEF19 NEJ19:NEV19 NEZ19:NFL19 NFP19:NGB19 NGF19:NGR19 NGV19:NHH19 NHL19:NHX19 NIB19:NIN19 NIR19:NJD19 NJH19:NJT19 NJX19:NKJ19 NKN19:NKZ19 NLD19:NLP19 NLT19:NMF19 NMJ19:NMV19 NMZ19:NNL19 NNP19:NOB19 NOF19:NOR19 NOV19:NPH19 NPL19:NPX19 NQB19:NQN19 NQR19:NRD19 NRH19:NRT19 NRX19:NSJ19 NSN19:NSZ19 NTD19:NTP19 NTT19:NUF19 NUJ19:NUV19 NUZ19:NVL19 NVP19:NWB19 NWF19:NWR19 NWV19:NXH19 NXL19:NXX19 NYB19:NYN19 NYR19:NZD19 NZH19:NZT19 NZX19:OAJ19 OAN19:OAZ19 OBD19:OBP19 OBT19:OCF19 OCJ19:OCV19 OCZ19:ODL19 ODP19:OEB19 OEF19:OER19 OEV19:OFH19 OFL19:OFX19 OGB19:OGN19 OGR19:OHD19 OHH19:OHT19 OHX19:OIJ19 OIN19:OIZ19 OJD19:OJP19 OJT19:OKF19 OKJ19:OKV19 OKZ19:OLL19 OLP19:OMB19 OMF19:OMR19 OMV19:ONH19 ONL19:ONX19 OOB19:OON19 OOR19:OPD19 OPH19:OPT19 OPX19:OQJ19 OQN19:OQZ19 ORD19:ORP19 ORT19:OSF19 OSJ19:OSV19 OSZ19:OTL19 OTP19:OUB19 OUF19:OUR19 OUV19:OVH19 OVL19:OVX19 OWB19:OWN19 OWR19:OXD19 OXH19:OXT19 OXX19:OYJ19 OYN19:OYZ19 OZD19:OZP19 OZT19:PAF19 PAJ19:PAV19 PAZ19:PBL19 PBP19:PCB19 PCF19:PCR19 PCV19:PDH19 PDL19:PDX19 PEB19:PEN19 PER19:PFD19 PFH19:PFT19 PFX19:PGJ19 PGN19:PGZ19 PHD19:PHP19 PHT19:PIF19 PIJ19:PIV19 PIZ19:PJL19 PJP19:PKB19 PKF19:PKR19 PKV19:PLH19 PLL19:PLX19 PMB19:PMN19 PMR19:PND19 PNH19:PNT19 PNX19:POJ19 PON19:POZ19 PPD19:PPP19 PPT19:PQF19 PQJ19:PQV19 PQZ19:PRL19 PRP19:PSB19 PSF19:PSR19 PSV19:PTH19 PTL19:PTX19 PUB19:PUN19 PUR19:PVD19 PVH19:PVT19 PVX19:PWJ19 PWN19:PWZ19 PXD19:PXP19 PXT19:PYF19 PYJ19:PYV19 PYZ19:PZL19 PZP19:QAB19 QAF19:QAR19 QAV19:QBH19 QBL19:QBX19 QCB19:QCN19 QCR19:QDD19 QDH19:QDT19 QDX19:QEJ19 QEN19:QEZ19 QFD19:QFP19 QFT19:QGF19 QGJ19:QGV19 QGZ19:QHL19 QHP19:QIB19 QIF19:QIR19 QIV19:QJH19 QJL19:QJX19 QKB19:QKN19 QKR19:QLD19 QLH19:QLT19 QLX19:QMJ19 QMN19:QMZ19 QND19:QNP19 QNT19:QOF19 QOJ19:QOV19 QOZ19:QPL19 QPP19:QQB19 QQF19:QQR19 QQV19:QRH19 QRL19:QRX19 QSB19:QSN19 QSR19:QTD19 QTH19:QTT19 QTX19:QUJ19 QUN19:QUZ19 QVD19:QVP19 QVT19:QWF19 QWJ19:QWV19 QWZ19:QXL19 QXP19:QYB19 QYF19:QYR19 QYV19:QZH19 QZL19:QZX19 RAB19:RAN19 RAR19:RBD19 RBH19:RBT19 RBX19:RCJ19 RCN19:RCZ19 RDD19:RDP19 RDT19:REF19 REJ19:REV19 REZ19:RFL19 RFP19:RGB19 RGF19:RGR19 RGV19:RHH19 RHL19:RHX19 RIB19:RIN19 RIR19:RJD19 RJH19:RJT19 RJX19:RKJ19 RKN19:RKZ19 RLD19:RLP19 RLT19:RMF19 RMJ19:RMV19 RMZ19:RNL19 RNP19:ROB19 ROF19:ROR19 ROV19:RPH19 RPL19:RPX19 RQB19:RQN19 RQR19:RRD19 RRH19:RRT19 RRX19:RSJ19 RSN19:RSZ19 RTD19:RTP19 RTT19:RUF19 RUJ19:RUV19 RUZ19:RVL19 RVP19:RWB19 RWF19:RWR19 RWV19:RXH19 RXL19:RXX19 RYB19:RYN19 RYR19:RZD19 RZH19:RZT19 RZX19:SAJ19 SAN19:SAZ19 SBD19:SBP19 SBT19:SCF19 SCJ19:SCV19 SCZ19:SDL19 SDP19:SEB19 SEF19:SER19 SEV19:SFH19 SFL19:SFX19 SGB19:SGN19 SGR19:SHD19 SHH19:SHT19 SHX19:SIJ19 SIN19:SIZ19 SJD19:SJP19 SJT19:SKF19 SKJ19:SKV19 SKZ19:SLL19 SLP19:SMB19 SMF19:SMR19 SMV19:SNH19 SNL19:SNX19 SOB19:SON19 SOR19:SPD19 SPH19:SPT19 SPX19:SQJ19 SQN19:SQZ19 SRD19:SRP19 SRT19:SSF19 SSJ19:SSV19 SSZ19:STL19 STP19:SUB19 SUF19:SUR19 SUV19:SVH19 SVL19:SVX19 SWB19:SWN19 SWR19:SXD19 SXH19:SXT19 SXX19:SYJ19 SYN19:SYZ19 SZD19:SZP19 SZT19:TAF19 TAJ19:TAV19 TAZ19:TBL19 TBP19:TCB19 TCF19:TCR19 TCV19:TDH19 TDL19:TDX19 TEB19:TEN19 TER19:TFD19 TFH19:TFT19 TFX19:TGJ19 TGN19:TGZ19 THD19:THP19 THT19:TIF19 TIJ19:TIV19 TIZ19:TJL19 TJP19:TKB19 TKF19:TKR19 TKV19:TLH19 TLL19:TLX19 TMB19:TMN19 TMR19:TND19 TNH19:TNT19 TNX19:TOJ19 TON19:TOZ19 TPD19:TPP19 TPT19:TQF19 TQJ19:TQV19 TQZ19:TRL19 TRP19:TSB19 TSF19:TSR19 TSV19:TTH19 TTL19:TTX19 TUB19:TUN19 TUR19:TVD19 TVH19:TVT19 TVX19:TWJ19 TWN19:TWZ19 TXD19:TXP19 TXT19:TYF19 TYJ19:TYV19 TYZ19:TZL19 TZP19:UAB19 UAF19:UAR19 UAV19:UBH19 UBL19:UBX19 UCB19:UCN19 UCR19:UDD19 UDH19:UDT19 UDX19:UEJ19 UEN19:UEZ19 UFD19:UFP19 UFT19:UGF19 UGJ19:UGV19 UGZ19:UHL19 UHP19:UIB19 UIF19:UIR19 UIV19:UJH19 UJL19:UJX19 UKB19:UKN19 UKR19:ULD19 ULH19:ULT19 ULX19:UMJ19 UMN19:UMZ19 UND19:UNP19 UNT19:UOF19 UOJ19:UOV19 UOZ19:UPL19 UPP19:UQB19 UQF19:UQR19 UQV19:URH19 URL19:URX19 USB19:USN19 USR19:UTD19 UTH19:UTT19 UTX19:UUJ19 UUN19:UUZ19 UVD19:UVP19 UVT19:UWF19 UWJ19:UWV19 UWZ19:UXL19 UXP19:UYB19 UYF19:UYR19 UYV19:UZH19 UZL19:UZX19 VAB19:VAN19 VAR19:VBD19 VBH19:VBT19 VBX19:VCJ19 VCN19:VCZ19 VDD19:VDP19 VDT19:VEF19 VEJ19:VEV19 VEZ19:VFL19 VFP19:VGB19 VGF19:VGR19 VGV19:VHH19 VHL19:VHX19 VIB19:VIN19 VIR19:VJD19 VJH19:VJT19 VJX19:VKJ19 VKN19:VKZ19 VLD19:VLP19 VLT19:VMF19 VMJ19:VMV19 VMZ19:VNL19 VNP19:VOB19 VOF19:VOR19 VOV19:VPH19 VPL19:VPX19 VQB19:VQN19 VQR19:VRD19 VRH19:VRT19 VRX19:VSJ19 VSN19:VSZ19 VTD19:VTP19 VTT19:VUF19 VUJ19:VUV19 VUZ19:VVL19 VVP19:VWB19 VWF19:VWR19 VWV19:VXH19 VXL19:VXX19 VYB19:VYN19 VYR19:VZD19 VZH19:VZT19 VZX19:WAJ19 WAN19:WAZ19 WBD19:WBP19 WBT19:WCF19 WCJ19:WCV19 WCZ19:WDL19 WDP19:WEB19 WEF19:WER19 WEV19:WFH19 WFL19:WFX19 WGB19:WGN19 WGR19:WHD19 WHH19:WHT19 WHX19:WIJ19 WIN19:WIZ19 WJD19:WJP19 WJT19:WKF19 WKJ19:WKV19 WKZ19:WLL19 WLP19:WMB19 WMF19:WMR19 WMV19:WNH19 WNL19:WNX19 WOB19:WON19 WOR19:WPD19 WPH19:WPT19 WPX19:WQJ19 WQN19:WQZ19 WRD19:WRP19 WRT19:WSF19 WSJ19:WSV19 WSZ19:WTL19 WTP19:WUB19 WUF19:WUR19 WUV19:WVH19 WVL19:WVX19 WWB19:WWN19 WWR19:WXD19 WXH19:WXT19 WXX19:WYJ19 WYN19:WYZ19 WZD19:WZP19 WZT19:XAF19 XAJ19:XAV19 XAZ19:XBL19 XBP19:XCB19 XCF19:XCR19 XCV19:XDH19 XDL19:XDX19 XEB19:XEN19 XER19:XFD19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0" tint="-0.04997999966144562"/>
  </sheetPr>
  <dimension ref="A2:X120"/>
  <sheetViews>
    <sheetView zoomScale="50" zoomScaleNormal="50" workbookViewId="0" topLeftCell="A94">
      <selection activeCell="B91" sqref="B91"/>
    </sheetView>
  </sheetViews>
  <sheetFormatPr defaultColWidth="12.140625" defaultRowHeight="15"/>
  <cols>
    <col min="1" max="1" width="50.57421875" style="142" customWidth="1"/>
    <col min="2" max="2" width="9.57421875" style="142" customWidth="1"/>
    <col min="3" max="7" width="8.57421875" style="142" customWidth="1"/>
    <col min="8" max="8" width="8.57421875" style="311" customWidth="1"/>
    <col min="9" max="14" width="8.57421875" style="142" customWidth="1"/>
    <col min="15" max="15" width="15.57421875" style="142" customWidth="1"/>
    <col min="16" max="16" width="17.28125" style="142" customWidth="1"/>
    <col min="17" max="17" width="18.57421875" style="142" customWidth="1"/>
    <col min="18" max="18" width="15.140625" style="142" customWidth="1"/>
    <col min="19" max="19" width="24.28125" style="142" customWidth="1"/>
    <col min="20" max="20" width="12.421875" style="142" customWidth="1"/>
    <col min="21" max="21" width="13.57421875" style="142" customWidth="1"/>
    <col min="22" max="23" width="14.421875" style="142" customWidth="1"/>
    <col min="24" max="24" width="12.57421875" style="142" customWidth="1"/>
    <col min="25" max="25" width="32.7109375" style="142" customWidth="1"/>
    <col min="26" max="16384" width="12.140625" style="142" customWidth="1"/>
  </cols>
  <sheetData>
    <row r="1" ht="14"/>
    <row r="2" spans="1:2" ht="15">
      <c r="A2" s="144" t="s">
        <v>2</v>
      </c>
      <c r="B2" s="146"/>
    </row>
    <row r="3" spans="1:2" ht="14">
      <c r="A3" s="147"/>
      <c r="B3" s="149"/>
    </row>
    <row r="4" ht="11.4" customHeight="1"/>
    <row r="5" spans="1:15" ht="32.4" customHeight="1">
      <c r="A5" s="530" t="s">
        <v>324</v>
      </c>
      <c r="B5" s="331">
        <v>2013</v>
      </c>
      <c r="C5" s="331">
        <v>2014</v>
      </c>
      <c r="D5" s="331">
        <v>2015</v>
      </c>
      <c r="E5" s="331">
        <v>2016</v>
      </c>
      <c r="F5" s="331">
        <v>2017</v>
      </c>
      <c r="G5" s="331">
        <v>2018</v>
      </c>
      <c r="H5" s="554">
        <v>2019</v>
      </c>
      <c r="I5" s="331">
        <v>2020</v>
      </c>
      <c r="J5" s="331">
        <v>2021</v>
      </c>
      <c r="K5" s="331">
        <v>2022</v>
      </c>
      <c r="L5" s="331">
        <v>2023</v>
      </c>
      <c r="M5" s="331">
        <v>2024</v>
      </c>
      <c r="N5" s="332">
        <v>2025</v>
      </c>
      <c r="O5" s="142" t="s">
        <v>412</v>
      </c>
    </row>
    <row r="6" spans="1:14" ht="15" customHeight="1">
      <c r="A6" s="348" t="s">
        <v>74</v>
      </c>
      <c r="B6" s="160">
        <f>'DATA 2'!D46*'DATA 2'!D25/1000</f>
        <v>56.48422509586182</v>
      </c>
      <c r="C6" s="160">
        <f>'DATA 2'!E46*'DATA 2'!E25/1000</f>
        <v>53.095171590110105</v>
      </c>
      <c r="D6" s="160">
        <f>'DATA 2'!F46*'DATA 2'!F25/1000</f>
        <v>49.90946129470349</v>
      </c>
      <c r="E6" s="160">
        <f>'DATA 2'!G46*'DATA 2'!G25/1000</f>
        <v>46.914893617021285</v>
      </c>
      <c r="F6" s="160">
        <f>'DATA 2'!H46*'DATA 2'!H25/1000</f>
        <v>44.1</v>
      </c>
      <c r="G6" s="160">
        <f>'DATA 2'!I46*'DATA 2'!I25/1000</f>
        <v>42.9975</v>
      </c>
      <c r="H6" s="543">
        <f>'DATA 2'!J46*'DATA 2'!J25/1000</f>
        <v>41.9225625</v>
      </c>
      <c r="I6" s="160">
        <f>'DATA 2'!K46*'DATA 2'!K25/1000</f>
        <v>40.6732701375</v>
      </c>
      <c r="J6" s="160">
        <f>'DATA 2'!L46*'DATA 2'!L25/1000</f>
        <v>39.461206687402495</v>
      </c>
      <c r="K6" s="160">
        <f>'DATA 2'!M46*'DATA 2'!M25/1000</f>
        <v>38.2852627281179</v>
      </c>
      <c r="L6" s="160">
        <f>'DATA 2'!N46*'DATA 2'!N25/1000</f>
        <v>37.14436189881998</v>
      </c>
      <c r="M6" s="160">
        <f>'DATA 2'!O46*'DATA 2'!O25/1000</f>
        <v>36.03745991423514</v>
      </c>
      <c r="N6" s="531">
        <f>'DATA 2'!P46*'DATA 2'!P25/1000</f>
        <v>34.963543608790935</v>
      </c>
    </row>
    <row r="7" spans="1:14" ht="15" customHeight="1">
      <c r="A7" s="348" t="s">
        <v>76</v>
      </c>
      <c r="B7" s="160">
        <f>'DATA 2'!D47*'DATA 2'!D26/1000</f>
        <v>43.18433118593268</v>
      </c>
      <c r="C7" s="160">
        <f>'DATA 2'!E47*'DATA 2'!E26/1000</f>
        <v>44.01347034470258</v>
      </c>
      <c r="D7" s="160">
        <f>'DATA 2'!F47*'DATA 2'!F26/1000</f>
        <v>44.85852897532088</v>
      </c>
      <c r="E7" s="160">
        <f>'DATA 2'!G47*'DATA 2'!G26/1000</f>
        <v>45.71981273164704</v>
      </c>
      <c r="F7" s="160">
        <f>'DATA 2'!H47*'DATA 2'!H26/1000</f>
        <v>46.59763313609467</v>
      </c>
      <c r="G7" s="160">
        <f>'DATA 2'!I47*'DATA 2'!I26/1000</f>
        <v>48.46153846153845</v>
      </c>
      <c r="H7" s="543">
        <f>'DATA 2'!J47*'DATA 2'!J26/1000</f>
        <v>50.4</v>
      </c>
      <c r="I7" s="160">
        <f>'DATA 2'!K47*'DATA 2'!K26/1000</f>
        <v>52.416</v>
      </c>
      <c r="J7" s="160">
        <f>'DATA 2'!L47*'DATA 2'!L26/1000</f>
        <v>54.512640000000005</v>
      </c>
      <c r="K7" s="160">
        <f>'DATA 2'!M47*'DATA 2'!M26/1000</f>
        <v>56.6931456</v>
      </c>
      <c r="L7" s="160">
        <f>'DATA 2'!N47*'DATA 2'!N26/1000</f>
        <v>58.960871424000004</v>
      </c>
      <c r="M7" s="160">
        <f>'DATA 2'!O47*'DATA 2'!O26/1000</f>
        <v>61.31930628096001</v>
      </c>
      <c r="N7" s="531">
        <f>'DATA 2'!P47*'DATA 2'!P26/1000</f>
        <v>63.772078532198414</v>
      </c>
    </row>
    <row r="8" spans="1:14" ht="15" customHeight="1">
      <c r="A8" s="348" t="s">
        <v>325</v>
      </c>
      <c r="B8" s="160">
        <f>'DATA 2'!D48*'DATA 2'!D27/1000</f>
        <v>70.2539428507593</v>
      </c>
      <c r="C8" s="160">
        <f>'DATA 2'!E48*'DATA 2'!E27/1000</f>
        <v>68.84886399374412</v>
      </c>
      <c r="D8" s="160">
        <f>'DATA 2'!F48*'DATA 2'!F27/1000</f>
        <v>67.47188671386922</v>
      </c>
      <c r="E8" s="160">
        <f>'DATA 2'!G48*'DATA 2'!G27/1000</f>
        <v>66.12244897959185</v>
      </c>
      <c r="F8" s="160">
        <f>'DATA 2'!H48*'DATA 2'!H27/1000</f>
        <v>64.8</v>
      </c>
      <c r="G8" s="160">
        <f>'DATA 2'!I48*'DATA 2'!I27/1000</f>
        <v>64.8</v>
      </c>
      <c r="H8" s="543">
        <f>'DATA 2'!J48*'DATA 2'!J27/1000</f>
        <v>64.8</v>
      </c>
      <c r="I8" s="160">
        <f>'DATA 2'!K48*'DATA 2'!K27/1000</f>
        <v>64.152</v>
      </c>
      <c r="J8" s="160">
        <f>'DATA 2'!L48*'DATA 2'!L27/1000</f>
        <v>63.51048</v>
      </c>
      <c r="K8" s="160">
        <f>'DATA 2'!M48*'DATA 2'!M27/1000</f>
        <v>62.87537519999999</v>
      </c>
      <c r="L8" s="160">
        <f>'DATA 2'!N48*'DATA 2'!N27/1000</f>
        <v>62.246621448</v>
      </c>
      <c r="M8" s="160">
        <f>'DATA 2'!O48*'DATA 2'!O27/1000</f>
        <v>61.62415523351999</v>
      </c>
      <c r="N8" s="531">
        <f>'DATA 2'!P48*'DATA 2'!P27/1000</f>
        <v>61.0079136811848</v>
      </c>
    </row>
    <row r="9" spans="1:14" ht="15" customHeight="1">
      <c r="A9" s="348" t="s">
        <v>79</v>
      </c>
      <c r="B9" s="160">
        <f>'DATA 2'!D49*'DATA 2'!D28/1000</f>
        <v>20.86732748137551</v>
      </c>
      <c r="C9" s="160">
        <f>'DATA 2'!E49*'DATA 2'!E28/1000</f>
        <v>21.28467403100302</v>
      </c>
      <c r="D9" s="160">
        <f>'DATA 2'!F49*'DATA 2'!F28/1000</f>
        <v>21.710367511623083</v>
      </c>
      <c r="E9" s="160">
        <f>'DATA 2'!G49*'DATA 2'!G28/1000</f>
        <v>22.14457486185555</v>
      </c>
      <c r="F9" s="160">
        <f>'DATA 2'!H49*'DATA 2'!H28/1000</f>
        <v>22.58746635909266</v>
      </c>
      <c r="G9" s="160">
        <f>'DATA 2'!I49*'DATA 2'!I28/1000</f>
        <v>23.03921568627451</v>
      </c>
      <c r="H9" s="543">
        <f>'DATA 2'!J49*'DATA 2'!J28/1000</f>
        <v>23.5</v>
      </c>
      <c r="I9" s="160">
        <f>'DATA 2'!K49*'DATA 2'!K28/1000</f>
        <v>23.735</v>
      </c>
      <c r="J9" s="160">
        <f>'DATA 2'!L49*'DATA 2'!L28/1000</f>
        <v>23.972350000000002</v>
      </c>
      <c r="K9" s="160">
        <f>'DATA 2'!M49*'DATA 2'!M28/1000</f>
        <v>24.2120735</v>
      </c>
      <c r="L9" s="160">
        <f>'DATA 2'!N49*'DATA 2'!N28/1000</f>
        <v>24.454194235</v>
      </c>
      <c r="M9" s="160">
        <f>'DATA 2'!O49*'DATA 2'!O28/1000</f>
        <v>24.698736177349996</v>
      </c>
      <c r="N9" s="531">
        <f>'DATA 2'!P49*'DATA 2'!P28/1000</f>
        <v>24.9457235391235</v>
      </c>
    </row>
    <row r="10" spans="1:14" ht="15" customHeight="1">
      <c r="A10" s="348" t="s">
        <v>81</v>
      </c>
      <c r="B10" s="160">
        <f>'DATA 2'!D50*'DATA 2'!D29/1000</f>
        <v>16.82656110682686</v>
      </c>
      <c r="C10" s="160">
        <f>'DATA 2'!E50*'DATA 2'!E29/1000</f>
        <v>17.657793225504108</v>
      </c>
      <c r="D10" s="160">
        <f>'DATA 2'!F50*'DATA 2'!F29/1000</f>
        <v>18.530088210844013</v>
      </c>
      <c r="E10" s="160">
        <f>'DATA 2'!G50*'DATA 2'!G29/1000</f>
        <v>19.44547456845971</v>
      </c>
      <c r="F10" s="160">
        <f>'DATA 2'!H50*'DATA 2'!H29/1000</f>
        <v>20.40608101214162</v>
      </c>
      <c r="G10" s="160">
        <f>'DATA 2'!I50*'DATA 2'!I29/1000</f>
        <v>21.313131313131315</v>
      </c>
      <c r="H10" s="543">
        <f>'DATA 2'!J50*'DATA 2'!J29/1000</f>
        <v>22.1</v>
      </c>
      <c r="I10" s="160">
        <f>'DATA 2'!K50*'DATA 2'!K29/1000</f>
        <v>22.09116</v>
      </c>
      <c r="J10" s="160">
        <f>'DATA 2'!L50*'DATA 2'!L29/1000</f>
        <v>22.082323536</v>
      </c>
      <c r="K10" s="160">
        <f>'DATA 2'!M50*'DATA 2'!M29/1000</f>
        <v>22.073490606585597</v>
      </c>
      <c r="L10" s="160">
        <f>'DATA 2'!N50*'DATA 2'!N29/1000</f>
        <v>22.064661210342965</v>
      </c>
      <c r="M10" s="160">
        <f>'DATA 2'!O50*'DATA 2'!O29/1000</f>
        <v>22.055835345858828</v>
      </c>
      <c r="N10" s="531">
        <f>'DATA 2'!P50*'DATA 2'!P29/1000</f>
        <v>22.047013011720487</v>
      </c>
    </row>
    <row r="11" spans="1:14" ht="15" customHeight="1">
      <c r="A11" s="348" t="s">
        <v>326</v>
      </c>
      <c r="B11" s="160">
        <f>'DATA 2'!D51*'DATA 2'!D30/1000</f>
        <v>53.624755952641785</v>
      </c>
      <c r="C11" s="160">
        <f>'DATA 2'!E51*'DATA 2'!E30/1000</f>
        <v>63.11633775625939</v>
      </c>
      <c r="D11" s="160">
        <f>'DATA 2'!F51*'DATA 2'!F30/1000</f>
        <v>74.28792953911729</v>
      </c>
      <c r="E11" s="160">
        <f>'DATA 2'!G51*'DATA 2'!G30/1000</f>
        <v>87.43689306754108</v>
      </c>
      <c r="F11" s="160">
        <f>'DATA 2'!H51*'DATA 2'!H30/1000</f>
        <v>102.91322314049586</v>
      </c>
      <c r="G11" s="160">
        <f>'DATA 2'!I51*'DATA 2'!I30/1000</f>
        <v>108.41363636363636</v>
      </c>
      <c r="H11" s="543">
        <f>'DATA 2'!J51*'DATA 2'!J30/1000</f>
        <v>116.535</v>
      </c>
      <c r="I11" s="160">
        <f>'DATA 2'!K51*'DATA 2'!K30/1000</f>
        <v>115.311</v>
      </c>
      <c r="J11" s="160">
        <f>'DATA 2'!L51*'DATA 2'!L30/1000</f>
        <v>125.31422924999998</v>
      </c>
      <c r="K11" s="160">
        <f>'DATA 2'!M51*'DATA 2'!M30/1000</f>
        <v>136.1852386374375</v>
      </c>
      <c r="L11" s="160">
        <f>'DATA 2'!N51*'DATA 2'!N30/1000</f>
        <v>147.9993080892352</v>
      </c>
      <c r="M11" s="160">
        <f>'DATA 2'!O51*'DATA 2'!O30/1000</f>
        <v>160.83824806597633</v>
      </c>
      <c r="N11" s="531">
        <f>'DATA 2'!P51*'DATA 2'!P30/1000</f>
        <v>174.7909660856998</v>
      </c>
    </row>
    <row r="12" spans="1:14" ht="15" customHeight="1">
      <c r="A12" s="348" t="s">
        <v>84</v>
      </c>
      <c r="B12" s="160">
        <f>'DATA 2'!D52*'DATA 2'!D31/1000</f>
        <v>23.135689814714418</v>
      </c>
      <c r="C12" s="160">
        <f>'DATA 2'!E52*'DATA 2'!E31/1000</f>
        <v>23.922303268414712</v>
      </c>
      <c r="D12" s="160">
        <f>'DATA 2'!F52*'DATA 2'!F31/1000</f>
        <v>24.73566157954081</v>
      </c>
      <c r="E12" s="160">
        <f>'DATA 2'!G52*'DATA 2'!G31/1000</f>
        <v>25.576674073245197</v>
      </c>
      <c r="F12" s="160">
        <f>'DATA 2'!H52*'DATA 2'!H31/1000</f>
        <v>26.446280991735534</v>
      </c>
      <c r="G12" s="160">
        <f>'DATA 2'!I52*'DATA 2'!I31/1000</f>
        <v>27.272727272727273</v>
      </c>
      <c r="H12" s="543">
        <f>'DATA 2'!J52*'DATA 2'!J31/1000</f>
        <v>29</v>
      </c>
      <c r="I12" s="160">
        <f>'DATA 2'!K52*'DATA 2'!K31/1000</f>
        <v>29.5365</v>
      </c>
      <c r="J12" s="160">
        <f>'DATA 2'!L52*'DATA 2'!L31/1000</f>
        <v>30.08292525</v>
      </c>
      <c r="K12" s="160">
        <f>'DATA 2'!M52*'DATA 2'!M31/1000</f>
        <v>30.639459367124996</v>
      </c>
      <c r="L12" s="160">
        <f>'DATA 2'!N52*'DATA 2'!N31/1000</f>
        <v>31.20628936541681</v>
      </c>
      <c r="M12" s="160">
        <f>'DATA 2'!O52*'DATA 2'!O31/1000</f>
        <v>31.783605718677023</v>
      </c>
      <c r="N12" s="531">
        <f>'DATA 2'!P52*'DATA 2'!P31/1000</f>
        <v>32.37160242447255</v>
      </c>
    </row>
    <row r="13" spans="1:14" ht="15" customHeight="1">
      <c r="A13" s="348" t="s">
        <v>86</v>
      </c>
      <c r="B13" s="160">
        <f>'DATA 2'!D53*'DATA 2'!D32/1000</f>
        <v>16.675133187623793</v>
      </c>
      <c r="C13" s="160">
        <f>'DATA 2'!E53*'DATA 2'!E32/1000</f>
        <v>14.67411720510894</v>
      </c>
      <c r="D13" s="160">
        <f>'DATA 2'!F53*'DATA 2'!F32/1000</f>
        <v>12.913223140495866</v>
      </c>
      <c r="E13" s="160">
        <f>'DATA 2'!G53*'DATA 2'!G32/1000</f>
        <v>11.363636363636362</v>
      </c>
      <c r="F13" s="160">
        <f>'DATA 2'!H53*'DATA 2'!H32/1000</f>
        <v>10</v>
      </c>
      <c r="G13" s="160">
        <f>'DATA 2'!I53*'DATA 2'!I32/1000</f>
        <v>9.74</v>
      </c>
      <c r="H13" s="543">
        <f>'DATA 2'!J53*'DATA 2'!J32/1000</f>
        <v>8.38</v>
      </c>
      <c r="I13" s="160">
        <f>'DATA 2'!K53*'DATA 2'!K32/1000</f>
        <v>7.206799999999999</v>
      </c>
      <c r="J13" s="160">
        <f>'DATA 2'!L53*'DATA 2'!L32/1000</f>
        <v>6.197847999999999</v>
      </c>
      <c r="K13" s="160">
        <f>'DATA 2'!M53*'DATA 2'!M32/1000</f>
        <v>5.33014928</v>
      </c>
      <c r="L13" s="160">
        <f>'DATA 2'!N53*'DATA 2'!N32/1000</f>
        <v>4.583928380799999</v>
      </c>
      <c r="M13" s="160">
        <f>'DATA 2'!O53*'DATA 2'!O32/1000</f>
        <v>3.942178407487999</v>
      </c>
      <c r="N13" s="531">
        <f>'DATA 2'!P53*'DATA 2'!P32/1000</f>
        <v>3.390273430439679</v>
      </c>
    </row>
    <row r="14" spans="1:14" ht="15" customHeight="1">
      <c r="A14" s="348" t="s">
        <v>88</v>
      </c>
      <c r="B14" s="160">
        <f>'DATA 2'!D54*'DATA 2'!D33/1000</f>
        <v>0.5134809286238284</v>
      </c>
      <c r="C14" s="160">
        <f>'DATA 2'!E54*'DATA 2'!E33/1000</f>
        <v>0.6631606193176743</v>
      </c>
      <c r="D14" s="160">
        <f>'DATA 2'!F54*'DATA 2'!F33/1000</f>
        <v>0.8564719398487765</v>
      </c>
      <c r="E14" s="160">
        <f>'DATA 2'!G54*'DATA 2'!G33/1000</f>
        <v>1.1061335103146948</v>
      </c>
      <c r="F14" s="160">
        <f>'DATA 2'!H54*'DATA 2'!H33/1000</f>
        <v>1.4285714285714284</v>
      </c>
      <c r="G14" s="160">
        <f>'DATA 2'!I54*'DATA 2'!I33/1000</f>
        <v>1.7142857142857142</v>
      </c>
      <c r="H14" s="543">
        <f>'DATA 2'!J54*'DATA 2'!J33/1000</f>
        <v>2.1</v>
      </c>
      <c r="I14" s="160">
        <f>'DATA 2'!K54*'DATA 2'!K33/1000</f>
        <v>2.8665000000000003</v>
      </c>
      <c r="J14" s="160">
        <f>'DATA 2'!L54*'DATA 2'!L33/1000</f>
        <v>3.9127725000000004</v>
      </c>
      <c r="K14" s="160">
        <f>'DATA 2'!M54*'DATA 2'!M33/1000</f>
        <v>5.340934462500001</v>
      </c>
      <c r="L14" s="160">
        <f>'DATA 2'!N54*'DATA 2'!N33/1000</f>
        <v>7.2903755413125015</v>
      </c>
      <c r="M14" s="160">
        <f>'DATA 2'!O54*'DATA 2'!O33/1000</f>
        <v>9.951362613891567</v>
      </c>
      <c r="N14" s="531">
        <f>'DATA 2'!P54*'DATA 2'!P33/1000</f>
        <v>13.58360996796199</v>
      </c>
    </row>
    <row r="15" spans="1:14" ht="15" customHeight="1">
      <c r="A15" s="348" t="s">
        <v>90</v>
      </c>
      <c r="B15" s="160">
        <f>'DATA 2'!D55*'DATA 2'!D34/1000</f>
        <v>131.63532048854086</v>
      </c>
      <c r="C15" s="160">
        <f>'DATA 2'!E55*'DATA 2'!E34/1000</f>
        <v>144.79885253739494</v>
      </c>
      <c r="D15" s="160">
        <f>'DATA 2'!F55*'DATA 2'!F34/1000</f>
        <v>159.27873779113443</v>
      </c>
      <c r="E15" s="160">
        <f>'DATA 2'!G55*'DATA 2'!G34/1000</f>
        <v>175.20661157024787</v>
      </c>
      <c r="F15" s="160">
        <f>'DATA 2'!H55*'DATA 2'!H34/1000</f>
        <v>192.7272727272727</v>
      </c>
      <c r="G15" s="160">
        <f>'DATA 2'!I55*'DATA 2'!I34/1000</f>
        <v>216.81818181818178</v>
      </c>
      <c r="H15" s="543">
        <f>'DATA 2'!J55*'DATA 2'!J34/1000</f>
        <v>243.8</v>
      </c>
      <c r="I15" s="160">
        <f>'DATA 2'!K55*'DATA 2'!K34/1000</f>
        <v>260.866</v>
      </c>
      <c r="J15" s="160">
        <f>'DATA 2'!L55*'DATA 2'!L34/1000</f>
        <v>279.12662</v>
      </c>
      <c r="K15" s="160">
        <f>'DATA 2'!M55*'DATA 2'!M34/1000</f>
        <v>298.6654834</v>
      </c>
      <c r="L15" s="160">
        <f>'DATA 2'!N55*'DATA 2'!N34/1000</f>
        <v>319.5720672380001</v>
      </c>
      <c r="M15" s="160">
        <f>'DATA 2'!O55*'DATA 2'!O34/1000</f>
        <v>341.94211194466016</v>
      </c>
      <c r="N15" s="531">
        <f>'DATA 2'!P55*'DATA 2'!P34/1000</f>
        <v>365.8780597807863</v>
      </c>
    </row>
    <row r="16" spans="1:14" ht="15" customHeight="1">
      <c r="A16" s="348" t="s">
        <v>92</v>
      </c>
      <c r="B16" s="160">
        <f>'DATA 2'!D56*'DATA 2'!D35/1000</f>
        <v>8.496876708272591</v>
      </c>
      <c r="C16" s="160">
        <f>'DATA 2'!E56*'DATA 2'!E35/1000</f>
        <v>9.516501913265303</v>
      </c>
      <c r="D16" s="160">
        <f>'DATA 2'!F56*'DATA 2'!F35/1000</f>
        <v>10.65848214285714</v>
      </c>
      <c r="E16" s="160">
        <f>'DATA 2'!G56*'DATA 2'!G35/1000</f>
        <v>11.9375</v>
      </c>
      <c r="F16" s="160">
        <f>'DATA 2'!H56*'DATA 2'!H35/1000</f>
        <v>13.37</v>
      </c>
      <c r="G16" s="160">
        <f>'DATA 2'!I56*'DATA 2'!I35/1000</f>
        <v>15</v>
      </c>
      <c r="H16" s="543">
        <f>'DATA 2'!J56*'DATA 2'!J35/1000</f>
        <v>16.8</v>
      </c>
      <c r="I16" s="160">
        <f>'DATA 2'!K56*'DATA 2'!K35/1000</f>
        <v>17.297280000000004</v>
      </c>
      <c r="J16" s="160">
        <f>'DATA 2'!L56*'DATA 2'!L35/1000</f>
        <v>17.809279488000005</v>
      </c>
      <c r="K16" s="160">
        <f>'DATA 2'!M56*'DATA 2'!M35/1000</f>
        <v>18.336434160844806</v>
      </c>
      <c r="L16" s="160">
        <f>'DATA 2'!N56*'DATA 2'!N35/1000</f>
        <v>18.879192612005813</v>
      </c>
      <c r="M16" s="160">
        <f>'DATA 2'!O56*'DATA 2'!O35/1000</f>
        <v>19.438016713321186</v>
      </c>
      <c r="N16" s="531">
        <f>'DATA 2'!P56*'DATA 2'!P35/1000</f>
        <v>20.013382008035492</v>
      </c>
    </row>
    <row r="17" spans="1:14" ht="15" customHeight="1">
      <c r="A17" s="348" t="s">
        <v>94</v>
      </c>
      <c r="B17" s="160">
        <f>'DATA 2'!D57*'DATA 2'!D36/1000</f>
        <v>4.44981948512768</v>
      </c>
      <c r="C17" s="160">
        <f>'DATA 2'!E57*'DATA 2'!E36/1000</f>
        <v>4.494317679978957</v>
      </c>
      <c r="D17" s="160">
        <f>'DATA 2'!F57*'DATA 2'!F36/1000</f>
        <v>4.539260856778746</v>
      </c>
      <c r="E17" s="160">
        <f>'DATA 2'!G57*'DATA 2'!G36/1000</f>
        <v>4.584653465346534</v>
      </c>
      <c r="F17" s="160">
        <f>'DATA 2'!H57*'DATA 2'!H36/1000</f>
        <v>4.6305</v>
      </c>
      <c r="G17" s="160">
        <f>'DATA 2'!I57*'DATA 2'!I36/1000</f>
        <v>5.04</v>
      </c>
      <c r="H17" s="543">
        <f>'DATA 2'!J57*'DATA 2'!J36/1000</f>
        <v>4.44</v>
      </c>
      <c r="I17" s="160">
        <f>'DATA 2'!K57*'DATA 2'!K36/1000</f>
        <v>4.61538</v>
      </c>
      <c r="J17" s="160">
        <f>'DATA 2'!L57*'DATA 2'!L36/1000</f>
        <v>4.79768751</v>
      </c>
      <c r="K17" s="160">
        <f>'DATA 2'!M57*'DATA 2'!M36/1000</f>
        <v>4.987196166645001</v>
      </c>
      <c r="L17" s="160">
        <f>'DATA 2'!N57*'DATA 2'!N36/1000</f>
        <v>5.184190415227478</v>
      </c>
      <c r="M17" s="160">
        <f>'DATA 2'!O57*'DATA 2'!O36/1000</f>
        <v>5.3889659366289635</v>
      </c>
      <c r="N17" s="531">
        <f>'DATA 2'!P57*'DATA 2'!P36/1000</f>
        <v>5.601830091125809</v>
      </c>
    </row>
    <row r="18" spans="1:14" ht="15" customHeight="1">
      <c r="A18" s="348" t="s">
        <v>96</v>
      </c>
      <c r="B18" s="160">
        <f>'DATA 2'!D58*'DATA 2'!D37/1000</f>
        <v>8.4</v>
      </c>
      <c r="C18" s="160">
        <f>'DATA 2'!E58*'DATA 2'!E37/1000</f>
        <v>8.4</v>
      </c>
      <c r="D18" s="160">
        <f>'DATA 2'!F58*'DATA 2'!F37/1000</f>
        <v>8.4</v>
      </c>
      <c r="E18" s="160">
        <f>'DATA 2'!G58*'DATA 2'!G37/1000</f>
        <v>8.4</v>
      </c>
      <c r="F18" s="160">
        <f>'DATA 2'!H58*'DATA 2'!H37/1000</f>
        <v>8.4</v>
      </c>
      <c r="G18" s="160">
        <f>'DATA 2'!I58*'DATA 2'!I37/1000</f>
        <v>8.4</v>
      </c>
      <c r="H18" s="543">
        <f>'DATA 2'!J58*'DATA 2'!J37/1000</f>
        <v>8.4</v>
      </c>
      <c r="I18" s="160">
        <f>'DATA 2'!K58*'DATA 2'!K37/1000</f>
        <v>8.316</v>
      </c>
      <c r="J18" s="160">
        <f>'DATA 2'!L58*'DATA 2'!L37/1000</f>
        <v>8.23284</v>
      </c>
      <c r="K18" s="160">
        <f>'DATA 2'!M58*'DATA 2'!M37/1000</f>
        <v>8.1505116</v>
      </c>
      <c r="L18" s="160">
        <f>'DATA 2'!N58*'DATA 2'!N37/1000</f>
        <v>8.069006483999999</v>
      </c>
      <c r="M18" s="160">
        <f>'DATA 2'!O58*'DATA 2'!O37/1000</f>
        <v>7.988316419159999</v>
      </c>
      <c r="N18" s="531">
        <f>'DATA 2'!P58*'DATA 2'!P37/1000</f>
        <v>7.9084332549684</v>
      </c>
    </row>
    <row r="19" spans="1:14" ht="15" customHeight="1">
      <c r="A19" s="157" t="s">
        <v>5</v>
      </c>
      <c r="B19" s="160">
        <f>'DATA 2'!D59*'DATA 2'!D38/1000</f>
        <v>0</v>
      </c>
      <c r="C19" s="160">
        <f>'DATA 2'!E59*'DATA 2'!E38/1000</f>
        <v>0</v>
      </c>
      <c r="D19" s="160">
        <f>'DATA 2'!F59*'DATA 2'!F38/1000</f>
        <v>0</v>
      </c>
      <c r="E19" s="160">
        <f>'DATA 2'!G59*'DATA 2'!G38/1000</f>
        <v>0</v>
      </c>
      <c r="F19" s="160">
        <f>'DATA 2'!H59*'DATA 2'!H38/1000</f>
        <v>0.0980296049406921</v>
      </c>
      <c r="G19" s="160">
        <f>'DATA 2'!I59*'DATA 2'!I38/1000</f>
        <v>0.19801980198019803</v>
      </c>
      <c r="H19" s="543">
        <f>'DATA 2'!J59*'DATA 2'!J38/1000</f>
        <v>0.3</v>
      </c>
      <c r="I19" s="160">
        <f>'DATA 2'!K59*'DATA 2'!K38/1000</f>
        <v>0.5253</v>
      </c>
      <c r="J19" s="160">
        <f>'DATA 2'!L59*'DATA 2'!L38/1000</f>
        <v>0.9198003</v>
      </c>
      <c r="K19" s="160">
        <f>'DATA 2'!M59*'DATA 2'!M38/1000</f>
        <v>1.6105703252999999</v>
      </c>
      <c r="L19" s="160">
        <f>'DATA 2'!N59*'DATA 2'!N38/1000</f>
        <v>2.8201086396002997</v>
      </c>
      <c r="M19" s="160">
        <f>'DATA 2'!O59*'DATA 2'!O38/1000</f>
        <v>4.938010227940125</v>
      </c>
      <c r="N19" s="531">
        <f>'DATA 2'!P59*'DATA 2'!P38/1000</f>
        <v>8.646455909123159</v>
      </c>
    </row>
    <row r="20" spans="1:14" ht="15" customHeight="1">
      <c r="A20" s="157" t="s">
        <v>33</v>
      </c>
      <c r="B20" s="160">
        <f>'DATA 2'!D60*'DATA 2'!D39/1000</f>
        <v>0</v>
      </c>
      <c r="C20" s="160">
        <f>'DATA 2'!E60*'DATA 2'!E39/1000</f>
        <v>0</v>
      </c>
      <c r="D20" s="160">
        <f>'DATA 2'!F60*'DATA 2'!F39/1000</f>
        <v>0</v>
      </c>
      <c r="E20" s="160">
        <f>'DATA 2'!G60*'DATA 2'!G39/1000</f>
        <v>0</v>
      </c>
      <c r="F20" s="160">
        <f>'DATA 2'!H60*'DATA 2'!H39/1000</f>
        <v>6.032613818456028</v>
      </c>
      <c r="G20" s="160">
        <f>'DATA 2'!I60*'DATA 2'!I39/1000</f>
        <v>9.70873786407767</v>
      </c>
      <c r="H20" s="543">
        <f>'DATA 2'!J60*'DATA 2'!J39/1000</f>
        <v>11.2</v>
      </c>
      <c r="I20" s="160">
        <f>'DATA 2'!K60*'DATA 2'!K39/1000</f>
        <v>14.420000000000002</v>
      </c>
      <c r="J20" s="160">
        <f>'DATA 2'!L60*'DATA 2'!L39/1000</f>
        <v>18.565750000000005</v>
      </c>
      <c r="K20" s="160">
        <f>'DATA 2'!M60*'DATA 2'!M39/1000</f>
        <v>23.903403125000004</v>
      </c>
      <c r="L20" s="160">
        <f>'DATA 2'!N60*'DATA 2'!N39/1000</f>
        <v>30.775631523437504</v>
      </c>
      <c r="M20" s="160">
        <f>'DATA 2'!O60*'DATA 2'!O39/1000</f>
        <v>39.62362558642579</v>
      </c>
      <c r="N20" s="531">
        <f>'DATA 2'!P60*'DATA 2'!P39/1000</f>
        <v>51.0154179425232</v>
      </c>
    </row>
    <row r="21" spans="1:14" ht="15" customHeight="1">
      <c r="A21" s="157" t="s">
        <v>101</v>
      </c>
      <c r="B21" s="160">
        <f>'DATA 2'!D61*'DATA 2'!D40/1000</f>
        <v>0</v>
      </c>
      <c r="C21" s="160">
        <f>'DATA 2'!E61*'DATA 2'!E40/1000</f>
        <v>2.017994299942253</v>
      </c>
      <c r="D21" s="160">
        <f>'DATA 2'!F61*'DATA 2'!F40/1000</f>
        <v>2.3973772283313974</v>
      </c>
      <c r="E21" s="160">
        <f>'DATA 2'!G61*'DATA 2'!G40/1000</f>
        <v>2.9301277235161525</v>
      </c>
      <c r="F21" s="160">
        <f>'DATA 2'!H61*'DATA 2'!H40/1000</f>
        <v>3.438016528925619</v>
      </c>
      <c r="G21" s="160">
        <f>'DATA 2'!I61*'DATA 2'!I40/1000</f>
        <v>4.136363636363636</v>
      </c>
      <c r="H21" s="543">
        <f>'DATA 2'!J61*'DATA 2'!J40/1000</f>
        <v>4.94</v>
      </c>
      <c r="I21" s="160">
        <f>'DATA 2'!K61*'DATA 2'!K40/1000</f>
        <v>6.078669999999999</v>
      </c>
      <c r="J21" s="160">
        <f>'DATA 2'!L61*'DATA 2'!L40/1000</f>
        <v>7.479803434999998</v>
      </c>
      <c r="K21" s="160">
        <f>'DATA 2'!M61*'DATA 2'!M40/1000</f>
        <v>9.203898126767497</v>
      </c>
      <c r="L21" s="160">
        <f>'DATA 2'!N61*'DATA 2'!N40/1000</f>
        <v>11.325396644987405</v>
      </c>
      <c r="M21" s="160">
        <f>'DATA 2'!O61*'DATA 2'!O40/1000</f>
        <v>13.935900571657003</v>
      </c>
      <c r="N21" s="531">
        <f>'DATA 2'!P61*'DATA 2'!P40/1000</f>
        <v>17.14812565342394</v>
      </c>
    </row>
    <row r="22" spans="1:15" ht="15" customHeight="1">
      <c r="A22" s="157" t="s">
        <v>16</v>
      </c>
      <c r="B22" s="160">
        <f>'DATA 2'!D62*'DATA 2'!D41/1000</f>
        <v>0</v>
      </c>
      <c r="C22" s="160">
        <f>'DATA 2'!E62*'DATA 2'!E41/1000</f>
        <v>0.04313043921920819</v>
      </c>
      <c r="D22" s="160">
        <f>'DATA 2'!F62*'DATA 2'!F41/1000</f>
        <v>0.13327305718735333</v>
      </c>
      <c r="E22" s="160">
        <f>'DATA 2'!G62*'DATA 2'!G41/1000</f>
        <v>0.22878541483828985</v>
      </c>
      <c r="F22" s="160">
        <f>'DATA 2'!H62*'DATA 2'!H41/1000</f>
        <v>0.47129795456687706</v>
      </c>
      <c r="G22" s="160">
        <f>'DATA 2'!I62*'DATA 2'!I41/1000</f>
        <v>0.7766990291262136</v>
      </c>
      <c r="H22" s="543">
        <f>'DATA 2'!J62*'DATA 2'!J41/1000</f>
        <v>1.25</v>
      </c>
      <c r="I22" s="160">
        <f>'DATA 2'!K62*'DATA 2'!K41/1000</f>
        <v>1.72125</v>
      </c>
      <c r="J22" s="160">
        <f>'DATA 2'!L62*'DATA 2'!L41/1000</f>
        <v>2.37016125</v>
      </c>
      <c r="K22" s="160">
        <f>'DATA 2'!M62*'DATA 2'!M41/1000</f>
        <v>3.2637120412500003</v>
      </c>
      <c r="L22" s="160">
        <f>'DATA 2'!N62*'DATA 2'!N41/1000</f>
        <v>4.494131480801252</v>
      </c>
      <c r="M22" s="160">
        <f>'DATA 2'!O62*'DATA 2'!O41/1000</f>
        <v>6.188419049063323</v>
      </c>
      <c r="N22" s="531">
        <f>'DATA 2'!P62*'DATA 2'!P41/1000</f>
        <v>8.521453030560197</v>
      </c>
      <c r="O22" s="142">
        <f>0.4*1400</f>
        <v>560</v>
      </c>
    </row>
    <row r="23" spans="1:15" ht="15" customHeight="1">
      <c r="A23" s="348" t="s">
        <v>172</v>
      </c>
      <c r="B23" s="160">
        <f aca="true" t="shared" si="0" ref="B23:G24">B49*0.3</f>
        <v>12.154644329861112</v>
      </c>
      <c r="C23" s="160">
        <f t="shared" si="0"/>
        <v>11.548086874999997</v>
      </c>
      <c r="D23" s="160">
        <f t="shared" si="0"/>
        <v>12.939236496516296</v>
      </c>
      <c r="E23" s="160">
        <f t="shared" si="0"/>
        <v>12.534644249999998</v>
      </c>
      <c r="F23" s="160">
        <f t="shared" si="0"/>
        <v>13.0645375</v>
      </c>
      <c r="G23" s="160">
        <f t="shared" si="0"/>
        <v>14.546418</v>
      </c>
      <c r="H23" s="543">
        <f aca="true" t="shared" si="1" ref="H23:H24">H49*0.3</f>
        <v>15.720638984999997</v>
      </c>
      <c r="I23" s="160">
        <f aca="true" t="shared" si="2" ref="I23:N24">I49*0.3</f>
        <v>17.547263543655003</v>
      </c>
      <c r="J23" s="160">
        <f t="shared" si="2"/>
        <v>19.777808995999695</v>
      </c>
      <c r="K23" s="160">
        <f t="shared" si="2"/>
        <v>22.486474584989995</v>
      </c>
      <c r="L23" s="160">
        <f t="shared" si="2"/>
        <v>25.76263739019348</v>
      </c>
      <c r="M23" s="160">
        <f t="shared" si="2"/>
        <v>29.7138511241033</v>
      </c>
      <c r="N23" s="531">
        <f t="shared" si="2"/>
        <v>34.469447091727595</v>
      </c>
      <c r="O23" s="142">
        <f>0.03*1400</f>
        <v>42</v>
      </c>
    </row>
    <row r="24" spans="1:15" ht="15" customHeight="1">
      <c r="A24" s="348" t="s">
        <v>327</v>
      </c>
      <c r="B24" s="160">
        <f t="shared" si="0"/>
        <v>9.253198529647504</v>
      </c>
      <c r="C24" s="160">
        <f t="shared" si="0"/>
        <v>9.729105154626874</v>
      </c>
      <c r="D24" s="160">
        <f t="shared" si="0"/>
        <v>11.103042384720135</v>
      </c>
      <c r="E24" s="160">
        <f t="shared" si="0"/>
        <v>13.065367322501878</v>
      </c>
      <c r="F24" s="160">
        <f t="shared" si="0"/>
        <v>14.687950124612602</v>
      </c>
      <c r="G24" s="160">
        <f t="shared" si="0"/>
        <v>15.637219609765909</v>
      </c>
      <c r="H24" s="543">
        <f t="shared" si="1"/>
        <v>15.765148419237212</v>
      </c>
      <c r="I24" s="160">
        <f t="shared" si="2"/>
        <v>16.45881494968365</v>
      </c>
      <c r="J24" s="160">
        <f t="shared" si="2"/>
        <v>17.183002807469727</v>
      </c>
      <c r="K24" s="160">
        <f t="shared" si="2"/>
        <v>17.939054930998395</v>
      </c>
      <c r="L24" s="160">
        <f t="shared" si="2"/>
        <v>18.728373347962325</v>
      </c>
      <c r="M24" s="160">
        <f t="shared" si="2"/>
        <v>19.552421775272666</v>
      </c>
      <c r="N24" s="531">
        <f t="shared" si="2"/>
        <v>20.41272833338466</v>
      </c>
      <c r="O24" s="142">
        <f>0.01*1400</f>
        <v>14</v>
      </c>
    </row>
    <row r="25" spans="1:15" ht="15" customHeight="1">
      <c r="A25" s="555" t="s">
        <v>328</v>
      </c>
      <c r="B25" s="556">
        <f>SUM(B6:B24)</f>
        <v>475.9553071458097</v>
      </c>
      <c r="C25" s="556">
        <f>SUM(C6:C24)</f>
        <v>497.8238809335922</v>
      </c>
      <c r="D25" s="556">
        <f>SUM(D6:D24)</f>
        <v>524.7230288628889</v>
      </c>
      <c r="E25" s="556">
        <f>SUM(E6:E24)</f>
        <v>554.7182315197635</v>
      </c>
      <c r="F25" s="556">
        <f>SUM(F6:F24)</f>
        <v>596.1994743269064</v>
      </c>
      <c r="G25" s="556">
        <f aca="true" t="shared" si="3" ref="G25:H25">SUM(G6:G24)</f>
        <v>638.013674571089</v>
      </c>
      <c r="H25" s="557">
        <f t="shared" si="3"/>
        <v>681.3533499042373</v>
      </c>
      <c r="I25" s="556">
        <f>SUM(I6:I24)</f>
        <v>705.8341886308386</v>
      </c>
      <c r="J25" s="556">
        <f aca="true" t="shared" si="4" ref="J25:K25">SUM(J6:J24)</f>
        <v>745.3095290098721</v>
      </c>
      <c r="K25" s="556">
        <f t="shared" si="4"/>
        <v>790.1818678435616</v>
      </c>
      <c r="L25" s="556">
        <f>SUM(L6:L24)</f>
        <v>841.5613473691432</v>
      </c>
      <c r="M25" s="556">
        <f>SUM(M6:M24)</f>
        <v>900.9605271061894</v>
      </c>
      <c r="N25" s="558">
        <f>SUM(N6:N24)</f>
        <v>970.4880573772508</v>
      </c>
      <c r="O25" s="409">
        <f>SUM(O22:O24)</f>
        <v>616</v>
      </c>
    </row>
    <row r="29" spans="1:14" ht="15" customHeight="1">
      <c r="A29" s="371"/>
      <c r="B29" s="372"/>
      <c r="C29" s="372"/>
      <c r="D29" s="372"/>
      <c r="E29" s="372"/>
      <c r="F29" s="372"/>
      <c r="G29" s="372"/>
      <c r="H29" s="373"/>
      <c r="I29" s="371"/>
      <c r="J29" s="371"/>
      <c r="K29" s="371"/>
      <c r="L29" s="371"/>
      <c r="M29" s="371"/>
      <c r="N29" s="371"/>
    </row>
    <row r="30" spans="1:14" ht="15" customHeight="1">
      <c r="A30" s="374"/>
      <c r="B30" s="375"/>
      <c r="C30" s="375"/>
      <c r="D30" s="375"/>
      <c r="E30" s="375"/>
      <c r="F30" s="375"/>
      <c r="G30" s="375"/>
      <c r="H30" s="376"/>
      <c r="I30" s="375"/>
      <c r="J30" s="375"/>
      <c r="K30" s="375"/>
      <c r="L30" s="375"/>
      <c r="M30" s="375"/>
      <c r="N30" s="375"/>
    </row>
    <row r="31" spans="1:14" ht="30" customHeight="1">
      <c r="A31" s="530" t="s">
        <v>329</v>
      </c>
      <c r="B31" s="331">
        <v>2013</v>
      </c>
      <c r="C31" s="331">
        <v>2014</v>
      </c>
      <c r="D31" s="331">
        <v>2015</v>
      </c>
      <c r="E31" s="331">
        <v>2016</v>
      </c>
      <c r="F31" s="331">
        <v>2017</v>
      </c>
      <c r="G31" s="331">
        <v>2018</v>
      </c>
      <c r="H31" s="554">
        <v>2019</v>
      </c>
      <c r="I31" s="331">
        <v>2020</v>
      </c>
      <c r="J31" s="331">
        <v>2021</v>
      </c>
      <c r="K31" s="331">
        <v>2022</v>
      </c>
      <c r="L31" s="331">
        <v>2023</v>
      </c>
      <c r="M31" s="331">
        <v>2024</v>
      </c>
      <c r="N31" s="332">
        <v>2025</v>
      </c>
    </row>
    <row r="32" spans="1:19" s="143" customFormat="1" ht="15" customHeight="1">
      <c r="A32" s="348" t="s">
        <v>74</v>
      </c>
      <c r="B32" s="160">
        <f>'DATA 2'!D25*'DATA 2'!D66/1000</f>
        <v>194.77318998573043</v>
      </c>
      <c r="C32" s="160">
        <f>'DATA 2'!E25*'DATA 2'!E66/1000</f>
        <v>183.08679858658658</v>
      </c>
      <c r="D32" s="160">
        <f>'DATA 2'!F25*'DATA 2'!F66/1000</f>
        <v>172.10159067139136</v>
      </c>
      <c r="E32" s="160">
        <f>'DATA 2'!G25*'DATA 2'!G66/1000</f>
        <v>161.7754952311079</v>
      </c>
      <c r="F32" s="160">
        <f>'DATA 2'!H25*'DATA 2'!H66/1000</f>
        <v>152.0689655172414</v>
      </c>
      <c r="G32" s="160">
        <f>'DATA 2'!I25*'DATA 2'!I66/1000</f>
        <v>148.26724137931035</v>
      </c>
      <c r="H32" s="543">
        <f>'DATA 2'!J25*'DATA 2'!J66/1000</f>
        <v>144.5605603448276</v>
      </c>
      <c r="I32" s="160">
        <f>'DATA 2'!K25*'DATA 2'!K66/1000</f>
        <v>141.66934913793105</v>
      </c>
      <c r="J32" s="160">
        <f>'DATA 2'!L25*'DATA 2'!L66/1000</f>
        <v>138.8359621551724</v>
      </c>
      <c r="K32" s="160">
        <f>'DATA 2'!M25*'DATA 2'!M66/1000</f>
        <v>136.05924291206895</v>
      </c>
      <c r="L32" s="160">
        <f>'DATA 2'!N25*'DATA 2'!N66/1000</f>
        <v>133.33805805382758</v>
      </c>
      <c r="M32" s="160">
        <f>'DATA 2'!O25*'DATA 2'!O66/1000</f>
        <v>130.67129689275103</v>
      </c>
      <c r="N32" s="531">
        <f>'DATA 2'!P25*'DATA 2'!P66/1000</f>
        <v>128.05787095489598</v>
      </c>
      <c r="S32" s="348" t="s">
        <v>74</v>
      </c>
    </row>
    <row r="33" spans="1:19" ht="15" customHeight="1">
      <c r="A33" s="348" t="s">
        <v>76</v>
      </c>
      <c r="B33" s="160">
        <f>'DATA 2'!D26*'DATA 2'!D67/1000</f>
        <v>148.91148684804372</v>
      </c>
      <c r="C33" s="160">
        <f>'DATA 2'!E26*'DATA 2'!E67/1000</f>
        <v>151.77058739552615</v>
      </c>
      <c r="D33" s="160">
        <f>'DATA 2'!F26*'DATA 2'!F67/1000</f>
        <v>154.68458267352025</v>
      </c>
      <c r="E33" s="160">
        <f>'DATA 2'!G26*'DATA 2'!G67/1000</f>
        <v>157.65452666085187</v>
      </c>
      <c r="F33" s="160">
        <f>'DATA 2'!H26*'DATA 2'!H67/1000</f>
        <v>160.68149357274024</v>
      </c>
      <c r="G33" s="160">
        <f>'DATA 2'!I26*'DATA 2'!I67/1000</f>
        <v>167.10875331564986</v>
      </c>
      <c r="H33" s="543">
        <f>'DATA 2'!J26*'DATA 2'!J67/1000</f>
        <v>173.79310344827587</v>
      </c>
      <c r="I33" s="160">
        <f>'DATA 2'!K26*'DATA 2'!K67/1000</f>
        <v>182.48275862068968</v>
      </c>
      <c r="J33" s="160">
        <f>'DATA 2'!L26*'DATA 2'!L67/1000</f>
        <v>191.60689655172413</v>
      </c>
      <c r="K33" s="160">
        <f>'DATA 2'!M26*'DATA 2'!M67/1000</f>
        <v>201.18724137931036</v>
      </c>
      <c r="L33" s="160">
        <f>'DATA 2'!N26*'DATA 2'!N67/1000</f>
        <v>211.24660344827592</v>
      </c>
      <c r="M33" s="160">
        <f>'DATA 2'!O26*'DATA 2'!O67/1000</f>
        <v>221.80893362068971</v>
      </c>
      <c r="N33" s="531">
        <f>'DATA 2'!P26*'DATA 2'!P67/1000</f>
        <v>232.89938030172422</v>
      </c>
      <c r="S33" s="348" t="s">
        <v>76</v>
      </c>
    </row>
    <row r="34" spans="1:19" ht="15" customHeight="1">
      <c r="A34" s="348" t="s">
        <v>325</v>
      </c>
      <c r="B34" s="160">
        <f>'DATA 2'!D27*'DATA 2'!D68/1000</f>
        <v>201.98008569593298</v>
      </c>
      <c r="C34" s="160">
        <f>'DATA 2'!E27*'DATA 2'!E68/1000</f>
        <v>197.9404839820143</v>
      </c>
      <c r="D34" s="160">
        <f>'DATA 2'!F27*'DATA 2'!F68/1000</f>
        <v>193.98167430237405</v>
      </c>
      <c r="E34" s="160">
        <f>'DATA 2'!G27*'DATA 2'!G68/1000</f>
        <v>190.10204081632654</v>
      </c>
      <c r="F34" s="160">
        <f>'DATA 2'!H27*'DATA 2'!H68/1000</f>
        <v>186.3</v>
      </c>
      <c r="G34" s="160">
        <f>'DATA 2'!I27*'DATA 2'!I68/1000</f>
        <v>186.3</v>
      </c>
      <c r="H34" s="543">
        <f>'DATA 2'!J27*'DATA 2'!J68/1000</f>
        <v>186.3</v>
      </c>
      <c r="I34" s="160">
        <f>'DATA 2'!K27*'DATA 2'!K68/1000</f>
        <v>186.3</v>
      </c>
      <c r="J34" s="160">
        <f>'DATA 2'!L27*'DATA 2'!L68/1000</f>
        <v>186.3</v>
      </c>
      <c r="K34" s="160">
        <f>'DATA 2'!M27*'DATA 2'!M68/1000</f>
        <v>186.3</v>
      </c>
      <c r="L34" s="160">
        <f>'DATA 2'!N27*'DATA 2'!N68/1000</f>
        <v>186.3</v>
      </c>
      <c r="M34" s="160">
        <f>'DATA 2'!O27*'DATA 2'!O68/1000</f>
        <v>186.3</v>
      </c>
      <c r="N34" s="531">
        <f>'DATA 2'!P27*'DATA 2'!P68/1000</f>
        <v>186.3</v>
      </c>
      <c r="S34" s="348" t="s">
        <v>78</v>
      </c>
    </row>
    <row r="35" spans="1:19" ht="15" customHeight="1">
      <c r="A35" s="348" t="s">
        <v>79</v>
      </c>
      <c r="B35" s="160">
        <f>'DATA 2'!D28*'DATA 2'!D69/1000</f>
        <v>71.95630165991555</v>
      </c>
      <c r="C35" s="160">
        <f>'DATA 2'!E28*'DATA 2'!E69/1000</f>
        <v>73.39542769311387</v>
      </c>
      <c r="D35" s="160">
        <f>'DATA 2'!F28*'DATA 2'!F69/1000</f>
        <v>74.86333624697615</v>
      </c>
      <c r="E35" s="160">
        <f>'DATA 2'!G28*'DATA 2'!G69/1000</f>
        <v>76.36060297191567</v>
      </c>
      <c r="F35" s="160">
        <f>'DATA 2'!H28*'DATA 2'!H69/1000</f>
        <v>77.887815031354</v>
      </c>
      <c r="G35" s="160">
        <f>'DATA 2'!I28*'DATA 2'!I69/1000</f>
        <v>79.44557133198106</v>
      </c>
      <c r="H35" s="543">
        <f>'DATA 2'!J28*'DATA 2'!J69/1000</f>
        <v>81.0344827586207</v>
      </c>
      <c r="I35" s="160">
        <f>'DATA 2'!K28*'DATA 2'!K69/1000</f>
        <v>82.65517241379311</v>
      </c>
      <c r="J35" s="160">
        <f>'DATA 2'!L28*'DATA 2'!L69/1000</f>
        <v>84.30827586206897</v>
      </c>
      <c r="K35" s="160">
        <f>'DATA 2'!M28*'DATA 2'!M69/1000</f>
        <v>85.99444137931035</v>
      </c>
      <c r="L35" s="160">
        <f>'DATA 2'!N28*'DATA 2'!N69/1000</f>
        <v>87.71433020689658</v>
      </c>
      <c r="M35" s="160">
        <f>'DATA 2'!O28*'DATA 2'!O69/1000</f>
        <v>89.46861681103451</v>
      </c>
      <c r="N35" s="531">
        <f>'DATA 2'!P28*'DATA 2'!P69/1000</f>
        <v>91.25798914725519</v>
      </c>
      <c r="S35" s="348"/>
    </row>
    <row r="36" spans="1:19" ht="15" customHeight="1">
      <c r="A36" s="348" t="s">
        <v>81</v>
      </c>
      <c r="B36" s="160">
        <f>'DATA 2'!D29*'DATA 2'!D70/1000</f>
        <v>54.627149188828994</v>
      </c>
      <c r="C36" s="160">
        <f>'DATA 2'!E29*'DATA 2'!E70/1000</f>
        <v>57.90477814015874</v>
      </c>
      <c r="D36" s="160">
        <f>'DATA 2'!F29*'DATA 2'!F70/1000</f>
        <v>61.37906482856827</v>
      </c>
      <c r="E36" s="160">
        <f>'DATA 2'!G29*'DATA 2'!G70/1000</f>
        <v>65.06180871828238</v>
      </c>
      <c r="F36" s="160">
        <f>'DATA 2'!H29*'DATA 2'!H70/1000</f>
        <v>68.96551724137932</v>
      </c>
      <c r="G36" s="160">
        <f>'DATA 2'!I29*'DATA 2'!I70/1000</f>
        <v>72.75862068965517</v>
      </c>
      <c r="H36" s="543">
        <f>'DATA 2'!J29*'DATA 2'!J70/1000</f>
        <v>76.20689655172414</v>
      </c>
      <c r="I36" s="160">
        <f>'DATA 2'!K29*'DATA 2'!K70/1000</f>
        <v>76.95372413793105</v>
      </c>
      <c r="J36" s="160">
        <f>'DATA 2'!L29*'DATA 2'!L70/1000</f>
        <v>77.70787063448277</v>
      </c>
      <c r="K36" s="160">
        <f>'DATA 2'!M29*'DATA 2'!M70/1000</f>
        <v>78.46940776670071</v>
      </c>
      <c r="L36" s="160">
        <f>'DATA 2'!N29*'DATA 2'!N70/1000</f>
        <v>79.23840796281436</v>
      </c>
      <c r="M36" s="160">
        <f>'DATA 2'!O29*'DATA 2'!O70/1000</f>
        <v>80.01494436084994</v>
      </c>
      <c r="N36" s="531">
        <f>'DATA 2'!P29*'DATA 2'!P70/1000</f>
        <v>80.79909081558628</v>
      </c>
      <c r="S36" s="348"/>
    </row>
    <row r="37" spans="1:19" ht="15" customHeight="1">
      <c r="A37" s="348" t="s">
        <v>326</v>
      </c>
      <c r="B37" s="160">
        <f>'DATA 2'!D30*'DATA 2'!D71/1000</f>
        <v>175.14009020170656</v>
      </c>
      <c r="C37" s="160">
        <f>'DATA 2'!E30*'DATA 2'!E71/1000</f>
        <v>208.01388513256694</v>
      </c>
      <c r="D37" s="160">
        <f>'DATA 2'!F30*'DATA 2'!F71/1000</f>
        <v>247.05809137194976</v>
      </c>
      <c r="E37" s="160">
        <f>'DATA 2'!G30*'DATA 2'!G71/1000</f>
        <v>293.4308951224648</v>
      </c>
      <c r="F37" s="160">
        <f>'DATA 2'!H30*'DATA 2'!H71/1000</f>
        <v>348.50787413695144</v>
      </c>
      <c r="G37" s="160">
        <f>'DATA 2'!I30*'DATA 2'!I71/1000</f>
        <v>370.47219633426533</v>
      </c>
      <c r="H37" s="543">
        <f>'DATA 2'!J30*'DATA 2'!J71/1000</f>
        <v>401.844827586207</v>
      </c>
      <c r="I37" s="160">
        <f>'DATA 2'!K30*'DATA 2'!K71/1000</f>
        <v>401.4110344827587</v>
      </c>
      <c r="J37" s="160">
        <f>'DATA 2'!L30*'DATA 2'!L71/1000</f>
        <v>440.38804593103447</v>
      </c>
      <c r="K37" s="160">
        <f>'DATA 2'!M30*'DATA 2'!M71/1000</f>
        <v>483.149725190938</v>
      </c>
      <c r="L37" s="160">
        <f>'DATA 2'!N30*'DATA 2'!N71/1000</f>
        <v>530.0635635069781</v>
      </c>
      <c r="M37" s="160">
        <f>'DATA 2'!O30*'DATA 2'!O71/1000</f>
        <v>581.5327355235056</v>
      </c>
      <c r="N37" s="531">
        <f>'DATA 2'!P30*'DATA 2'!P71/1000</f>
        <v>637.999564142838</v>
      </c>
      <c r="S37" s="348" t="s">
        <v>79</v>
      </c>
    </row>
    <row r="38" spans="1:21" ht="15" customHeight="1">
      <c r="A38" s="348" t="s">
        <v>84</v>
      </c>
      <c r="B38" s="160">
        <f>'DATA 2'!D31*'DATA 2'!D72/1000</f>
        <v>79.77824074039454</v>
      </c>
      <c r="C38" s="160">
        <f>'DATA 2'!E31*'DATA 2'!E72/1000</f>
        <v>82.49070092556796</v>
      </c>
      <c r="D38" s="160">
        <f>'DATA 2'!F31*'DATA 2'!F72/1000</f>
        <v>85.29538475703725</v>
      </c>
      <c r="E38" s="160">
        <f>'DATA 2'!G31*'DATA 2'!G72/1000</f>
        <v>88.19542783877654</v>
      </c>
      <c r="F38" s="160">
        <f>'DATA 2'!H31*'DATA 2'!H72/1000</f>
        <v>91.19407238529494</v>
      </c>
      <c r="G38" s="160">
        <f>'DATA 2'!I31*'DATA 2'!I72/1000</f>
        <v>94.04388714733541</v>
      </c>
      <c r="H38" s="543">
        <f>'DATA 2'!J31*'DATA 2'!J72/1000</f>
        <v>100</v>
      </c>
      <c r="I38" s="160">
        <f>'DATA 2'!K31*'DATA 2'!K72/1000</f>
        <v>101.85000000000001</v>
      </c>
      <c r="J38" s="160">
        <f>'DATA 2'!L31*'DATA 2'!L72/1000</f>
        <v>103.73422500000001</v>
      </c>
      <c r="K38" s="160">
        <f>'DATA 2'!M31*'DATA 2'!M72/1000</f>
        <v>105.65330816250001</v>
      </c>
      <c r="L38" s="160">
        <f>'DATA 2'!N31*'DATA 2'!N72/1000</f>
        <v>107.60789436350626</v>
      </c>
      <c r="M38" s="160">
        <f>'DATA 2'!O31*'DATA 2'!O72/1000</f>
        <v>109.59864040923112</v>
      </c>
      <c r="N38" s="531">
        <f>'DATA 2'!P31*'DATA 2'!P72/1000</f>
        <v>111.62621525680191</v>
      </c>
      <c r="O38" s="385"/>
      <c r="P38" s="371"/>
      <c r="Q38" s="385"/>
      <c r="R38" s="371"/>
      <c r="S38" s="348" t="s">
        <v>81</v>
      </c>
      <c r="U38" s="143"/>
    </row>
    <row r="39" spans="1:21" ht="15" customHeight="1">
      <c r="A39" s="348" t="s">
        <v>86</v>
      </c>
      <c r="B39" s="160">
        <f>'DATA 2'!D32*'DATA 2'!D73/1000</f>
        <v>57.50045926766826</v>
      </c>
      <c r="C39" s="160">
        <f>'DATA 2'!E32*'DATA 2'!E73/1000</f>
        <v>50.60040415554807</v>
      </c>
      <c r="D39" s="160">
        <f>'DATA 2'!F32*'DATA 2'!F73/1000</f>
        <v>44.5283556568823</v>
      </c>
      <c r="E39" s="160">
        <f>'DATA 2'!G32*'DATA 2'!G73/1000</f>
        <v>39.18495297805643</v>
      </c>
      <c r="F39" s="160">
        <f>'DATA 2'!H32*'DATA 2'!H73/1000</f>
        <v>34.48275862068966</v>
      </c>
      <c r="G39" s="160">
        <f>'DATA 2'!I32*'DATA 2'!I73/1000</f>
        <v>33.58620689655172</v>
      </c>
      <c r="H39" s="543">
        <f>'DATA 2'!J32*'DATA 2'!J73/1000</f>
        <v>28.896551724137936</v>
      </c>
      <c r="I39" s="160">
        <f>'DATA 2'!K32*'DATA 2'!K73/1000</f>
        <v>24.85103448275862</v>
      </c>
      <c r="J39" s="160">
        <f>'DATA 2'!L32*'DATA 2'!L73/1000</f>
        <v>21.371889655172414</v>
      </c>
      <c r="K39" s="160">
        <f>'DATA 2'!M32*'DATA 2'!M73/1000</f>
        <v>18.379825103448276</v>
      </c>
      <c r="L39" s="160">
        <f>'DATA 2'!N32*'DATA 2'!N73/1000</f>
        <v>15.806649588965517</v>
      </c>
      <c r="M39" s="160">
        <f>'DATA 2'!O32*'DATA 2'!O73/1000</f>
        <v>13.593718646510343</v>
      </c>
      <c r="N39" s="531">
        <f>'DATA 2'!P32*'DATA 2'!P73/1000</f>
        <v>11.690598035998894</v>
      </c>
      <c r="O39" s="371"/>
      <c r="P39" s="371"/>
      <c r="Q39" s="385"/>
      <c r="R39" s="371"/>
      <c r="S39" s="348" t="s">
        <v>30</v>
      </c>
      <c r="U39" s="143"/>
    </row>
    <row r="40" spans="1:21" ht="15" customHeight="1">
      <c r="A40" s="348" t="s">
        <v>88</v>
      </c>
      <c r="B40" s="160">
        <f>'DATA 2'!D33*'DATA 2'!D74/1000</f>
        <v>1.770623891806305</v>
      </c>
      <c r="C40" s="160">
        <f>'DATA 2'!E33*'DATA 2'!E74/1000</f>
        <v>2.2867607562678427</v>
      </c>
      <c r="D40" s="160">
        <f>'DATA 2'!F33*'DATA 2'!F74/1000</f>
        <v>2.953351516719919</v>
      </c>
      <c r="E40" s="160">
        <f>'DATA 2'!G33*'DATA 2'!G74/1000</f>
        <v>3.814253483843775</v>
      </c>
      <c r="F40" s="160">
        <f>'DATA 2'!H33*'DATA 2'!H74/1000</f>
        <v>4.926108374384237</v>
      </c>
      <c r="G40" s="160">
        <f>'DATA 2'!I33*'DATA 2'!I74/1000</f>
        <v>5.9113300492610845</v>
      </c>
      <c r="H40" s="543">
        <f>'DATA 2'!J33*'DATA 2'!J74/1000</f>
        <v>7.241379310344828</v>
      </c>
      <c r="I40" s="160">
        <f>'DATA 2'!K33*'DATA 2'!K74/1000</f>
        <v>9.88448275862069</v>
      </c>
      <c r="J40" s="160">
        <f>'DATA 2'!L33*'DATA 2'!L74/1000</f>
        <v>13.492318965517242</v>
      </c>
      <c r="K40" s="160">
        <f>'DATA 2'!M33*'DATA 2'!M74/1000</f>
        <v>18.417015387931038</v>
      </c>
      <c r="L40" s="160">
        <f>'DATA 2'!N33*'DATA 2'!N74/1000</f>
        <v>25.139226004525867</v>
      </c>
      <c r="M40" s="160">
        <f>'DATA 2'!O33*'DATA 2'!O74/1000</f>
        <v>34.31504349617781</v>
      </c>
      <c r="N40" s="531">
        <f>'DATA 2'!P33*'DATA 2'!P74/1000</f>
        <v>46.840034372282716</v>
      </c>
      <c r="O40" s="371"/>
      <c r="P40" s="371"/>
      <c r="Q40" s="385"/>
      <c r="R40" s="371"/>
      <c r="S40" s="348" t="s">
        <v>86</v>
      </c>
      <c r="U40" s="143"/>
    </row>
    <row r="41" spans="1:21" ht="15" customHeight="1">
      <c r="A41" s="348" t="s">
        <v>90</v>
      </c>
      <c r="B41" s="160">
        <f>'DATA 2'!D34*'DATA 2'!D75/1000</f>
        <v>422.22649968022523</v>
      </c>
      <c r="C41" s="160">
        <f>'DATA 2'!E34*'DATA 2'!E75/1000</f>
        <v>464.4491496482477</v>
      </c>
      <c r="D41" s="160">
        <f>'DATA 2'!F34*'DATA 2'!F75/1000</f>
        <v>510.8940646130726</v>
      </c>
      <c r="E41" s="160">
        <f>'DATA 2'!G34*'DATA 2'!G75/1000</f>
        <v>561.98347107438</v>
      </c>
      <c r="F41" s="160">
        <f>'DATA 2'!H34*'DATA 2'!H75/1000</f>
        <v>618.181818181818</v>
      </c>
      <c r="G41" s="160">
        <f>'DATA 2'!I34*'DATA 2'!I75/1000</f>
        <v>695.4545454545454</v>
      </c>
      <c r="H41" s="543">
        <f>'DATA 2'!J34*'DATA 2'!J75/1000</f>
        <v>782</v>
      </c>
      <c r="I41" s="160">
        <f>'DATA 2'!K34*'DATA 2'!K75/1000</f>
        <v>844.5600000000002</v>
      </c>
      <c r="J41" s="160">
        <f>'DATA 2'!L34*'DATA 2'!L75/1000</f>
        <v>912.1248000000002</v>
      </c>
      <c r="K41" s="160">
        <f>'DATA 2'!M34*'DATA 2'!M75/1000</f>
        <v>985.0947840000002</v>
      </c>
      <c r="L41" s="160">
        <f>'DATA 2'!N34*'DATA 2'!N75/1000</f>
        <v>1063.9023667200006</v>
      </c>
      <c r="M41" s="160">
        <f>'DATA 2'!O34*'DATA 2'!O75/1000</f>
        <v>1149.0145560576004</v>
      </c>
      <c r="N41" s="531">
        <f>'DATA 2'!P34*'DATA 2'!P75/1000</f>
        <v>1240.9357205422086</v>
      </c>
      <c r="O41" s="371"/>
      <c r="P41" s="371"/>
      <c r="Q41" s="385"/>
      <c r="R41" s="371"/>
      <c r="S41" s="540" t="s">
        <v>269</v>
      </c>
      <c r="U41" s="143"/>
    </row>
    <row r="42" spans="1:21" ht="15" customHeight="1">
      <c r="A42" s="348" t="s">
        <v>92</v>
      </c>
      <c r="B42" s="160">
        <f>'DATA 2'!D35*'DATA 2'!D76/1000</f>
        <v>29.29957485611239</v>
      </c>
      <c r="C42" s="160">
        <f>'DATA 2'!E35*'DATA 2'!E76/1000</f>
        <v>32.815523838845884</v>
      </c>
      <c r="D42" s="160">
        <f>'DATA 2'!F35*'DATA 2'!F76/1000</f>
        <v>36.75338669950739</v>
      </c>
      <c r="E42" s="160">
        <f>'DATA 2'!G35*'DATA 2'!G76/1000</f>
        <v>41.16379310344828</v>
      </c>
      <c r="F42" s="160">
        <f>'DATA 2'!H35*'DATA 2'!H76/1000</f>
        <v>46.10344827586207</v>
      </c>
      <c r="G42" s="160">
        <f>'DATA 2'!I35*'DATA 2'!I76/1000</f>
        <v>51.724137931034484</v>
      </c>
      <c r="H42" s="543">
        <f>'DATA 2'!J35*'DATA 2'!J76/1000</f>
        <v>57.93103448275863</v>
      </c>
      <c r="I42" s="160">
        <f>'DATA 2'!K35*'DATA 2'!K76/1000</f>
        <v>60.24827586206898</v>
      </c>
      <c r="J42" s="160">
        <f>'DATA 2'!L35*'DATA 2'!L76/1000</f>
        <v>62.65820689655175</v>
      </c>
      <c r="K42" s="160">
        <f>'DATA 2'!M35*'DATA 2'!M76/1000</f>
        <v>65.16453517241382</v>
      </c>
      <c r="L42" s="160">
        <f>'DATA 2'!N35*'DATA 2'!N76/1000</f>
        <v>67.77111657931037</v>
      </c>
      <c r="M42" s="160">
        <f>'DATA 2'!O35*'DATA 2'!O76/1000</f>
        <v>70.4819612424828</v>
      </c>
      <c r="N42" s="531">
        <f>'DATA 2'!P35*'DATA 2'!P76/1000</f>
        <v>73.3012396921821</v>
      </c>
      <c r="O42" s="371"/>
      <c r="P42" s="371"/>
      <c r="Q42" s="385"/>
      <c r="R42" s="371"/>
      <c r="S42" s="348" t="s">
        <v>88</v>
      </c>
      <c r="U42" s="143"/>
    </row>
    <row r="43" spans="1:21" ht="15" customHeight="1">
      <c r="A43" s="348" t="s">
        <v>94</v>
      </c>
      <c r="B43" s="160">
        <f>'DATA 2'!D36*'DATA 2'!D77/1000</f>
        <v>15.344205121129932</v>
      </c>
      <c r="C43" s="160">
        <f>'DATA 2'!E36*'DATA 2'!E77/1000</f>
        <v>15.497647172341232</v>
      </c>
      <c r="D43" s="160">
        <f>'DATA 2'!F36*'DATA 2'!F77/1000</f>
        <v>15.652623644064644</v>
      </c>
      <c r="E43" s="160">
        <f>'DATA 2'!G36*'DATA 2'!G77/1000</f>
        <v>15.809149880505291</v>
      </c>
      <c r="F43" s="160">
        <f>'DATA 2'!H36*'DATA 2'!H77/1000</f>
        <v>15.967241379310344</v>
      </c>
      <c r="G43" s="160">
        <f>'DATA 2'!I36*'DATA 2'!I77/1000</f>
        <v>17.379310344827587</v>
      </c>
      <c r="H43" s="543">
        <f>'DATA 2'!J36*'DATA 2'!J77/1000</f>
        <v>15.310344827586206</v>
      </c>
      <c r="I43" s="160">
        <f>'DATA 2'!K36*'DATA 2'!K77/1000</f>
        <v>16.075862068965517</v>
      </c>
      <c r="J43" s="160">
        <f>'DATA 2'!L36*'DATA 2'!L77/1000</f>
        <v>16.879655172413795</v>
      </c>
      <c r="K43" s="160">
        <f>'DATA 2'!M36*'DATA 2'!M77/1000</f>
        <v>17.723637931034485</v>
      </c>
      <c r="L43" s="160">
        <f>'DATA 2'!N36*'DATA 2'!N77/1000</f>
        <v>18.609819827586207</v>
      </c>
      <c r="M43" s="160">
        <f>'DATA 2'!O36*'DATA 2'!O77/1000</f>
        <v>19.540310818965523</v>
      </c>
      <c r="N43" s="531">
        <f>'DATA 2'!P36*'DATA 2'!P77/1000</f>
        <v>20.517326359913802</v>
      </c>
      <c r="O43" s="371"/>
      <c r="P43" s="371"/>
      <c r="Q43" s="385"/>
      <c r="R43" s="371"/>
      <c r="S43" s="348" t="s">
        <v>90</v>
      </c>
      <c r="U43" s="143"/>
    </row>
    <row r="44" spans="1:21" ht="15" customHeight="1">
      <c r="A44" s="348" t="s">
        <v>96</v>
      </c>
      <c r="B44" s="160">
        <f>'DATA 2'!D37*'DATA 2'!D78/1000</f>
        <v>28.965517241379313</v>
      </c>
      <c r="C44" s="160">
        <f>'DATA 2'!E37*'DATA 2'!E78/1000</f>
        <v>28.965517241379313</v>
      </c>
      <c r="D44" s="160">
        <f>'DATA 2'!F37*'DATA 2'!F78/1000</f>
        <v>28.965517241379313</v>
      </c>
      <c r="E44" s="160">
        <f>'DATA 2'!G37*'DATA 2'!G78/1000</f>
        <v>28.965517241379313</v>
      </c>
      <c r="F44" s="160">
        <f>'DATA 2'!H37*'DATA 2'!H78/1000</f>
        <v>28.965517241379313</v>
      </c>
      <c r="G44" s="160">
        <f>'DATA 2'!I37*'DATA 2'!I78/1000</f>
        <v>28.965517241379313</v>
      </c>
      <c r="H44" s="543">
        <f>'DATA 2'!J37*'DATA 2'!J78/1000</f>
        <v>28.965517241379313</v>
      </c>
      <c r="I44" s="160">
        <f>'DATA 2'!K37*'DATA 2'!K78/1000</f>
        <v>28.965517241379313</v>
      </c>
      <c r="J44" s="160">
        <f>'DATA 2'!L37*'DATA 2'!L78/1000</f>
        <v>28.965517241379313</v>
      </c>
      <c r="K44" s="160">
        <f>'DATA 2'!M37*'DATA 2'!M78/1000</f>
        <v>28.965517241379313</v>
      </c>
      <c r="L44" s="160">
        <f>'DATA 2'!N37*'DATA 2'!N78/1000</f>
        <v>28.965517241379313</v>
      </c>
      <c r="M44" s="160">
        <f>'DATA 2'!O37*'DATA 2'!O78/1000</f>
        <v>28.965517241379313</v>
      </c>
      <c r="N44" s="531">
        <f>'DATA 2'!P37*'DATA 2'!P78/1000</f>
        <v>28.965517241379313</v>
      </c>
      <c r="O44" s="371"/>
      <c r="P44" s="371"/>
      <c r="Q44" s="385"/>
      <c r="R44" s="371"/>
      <c r="S44" s="348" t="s">
        <v>92</v>
      </c>
      <c r="U44" s="143"/>
    </row>
    <row r="45" spans="1:21" ht="15" customHeight="1">
      <c r="A45" s="157" t="s">
        <v>5</v>
      </c>
      <c r="B45" s="160">
        <f>'DATA 2'!D38*'DATA 2'!D79/1000</f>
        <v>0</v>
      </c>
      <c r="C45" s="160">
        <f>'DATA 2'!E38*'DATA 2'!E79/1000</f>
        <v>0</v>
      </c>
      <c r="D45" s="160">
        <f>'DATA 2'!F38*'DATA 2'!F79/1000</f>
        <v>0</v>
      </c>
      <c r="E45" s="160">
        <f>'DATA 2'!G38*'DATA 2'!G79/1000</f>
        <v>0</v>
      </c>
      <c r="F45" s="160">
        <f>'DATA 2'!H38*'DATA 2'!H79/1000</f>
        <v>0.3380331204851451</v>
      </c>
      <c r="G45" s="160">
        <f>'DATA 2'!I38*'DATA 2'!I79/1000</f>
        <v>0.6828269033799932</v>
      </c>
      <c r="H45" s="543">
        <f>'DATA 2'!J38*'DATA 2'!J79/1000</f>
        <v>1.0344827586206897</v>
      </c>
      <c r="I45" s="160">
        <f>'DATA 2'!K38*'DATA 2'!K79/1000</f>
        <v>1.8289655172413792</v>
      </c>
      <c r="J45" s="160">
        <f>'DATA 2'!L38*'DATA 2'!L79/1000</f>
        <v>3.233611034482759</v>
      </c>
      <c r="K45" s="160">
        <f>'DATA 2'!M38*'DATA 2'!M79/1000</f>
        <v>5.7170243089655175</v>
      </c>
      <c r="L45" s="160">
        <f>'DATA 2'!N38*'DATA 2'!N79/1000</f>
        <v>10.107698978251035</v>
      </c>
      <c r="M45" s="160">
        <f>'DATA 2'!O38*'DATA 2'!O79/1000</f>
        <v>17.870411793547827</v>
      </c>
      <c r="N45" s="531">
        <f>'DATA 2'!P38*'DATA 2'!P79/1000</f>
        <v>31.594888050992562</v>
      </c>
      <c r="O45" s="374"/>
      <c r="P45" s="371"/>
      <c r="Q45" s="385"/>
      <c r="R45" s="371"/>
      <c r="S45" s="348"/>
      <c r="T45" s="143"/>
      <c r="U45" s="341"/>
    </row>
    <row r="46" spans="1:21" ht="15" customHeight="1">
      <c r="A46" s="157" t="s">
        <v>33</v>
      </c>
      <c r="B46" s="160">
        <f>'DATA 2'!D39*'DATA 2'!D80/1000</f>
        <v>0</v>
      </c>
      <c r="C46" s="160">
        <f>'DATA 2'!E39*'DATA 2'!E80/1000</f>
        <v>0</v>
      </c>
      <c r="D46" s="160">
        <f>'DATA 2'!F39*'DATA 2'!F80/1000</f>
        <v>0</v>
      </c>
      <c r="E46" s="160">
        <f>'DATA 2'!G39*'DATA 2'!G80/1000</f>
        <v>0</v>
      </c>
      <c r="F46" s="160">
        <f>'DATA 2'!H39*'DATA 2'!H80/1000</f>
        <v>20.802116615365616</v>
      </c>
      <c r="G46" s="160">
        <f>'DATA 2'!I39*'DATA 2'!I80/1000</f>
        <v>33.47840642785404</v>
      </c>
      <c r="H46" s="543">
        <f>'DATA 2'!J39*'DATA 2'!J80/1000</f>
        <v>38.62068965517242</v>
      </c>
      <c r="I46" s="160">
        <f>'DATA 2'!K39*'DATA 2'!K80/1000</f>
        <v>50.20689655172414</v>
      </c>
      <c r="J46" s="160">
        <f>'DATA 2'!L39*'DATA 2'!L80/1000</f>
        <v>65.26896551724138</v>
      </c>
      <c r="K46" s="160">
        <f>'DATA 2'!M39*'DATA 2'!M80/1000</f>
        <v>84.84965517241379</v>
      </c>
      <c r="L46" s="160">
        <f>'DATA 2'!N39*'DATA 2'!N80/1000</f>
        <v>110.30455172413794</v>
      </c>
      <c r="M46" s="160">
        <f>'DATA 2'!O39*'DATA 2'!O80/1000</f>
        <v>143.39591724137935</v>
      </c>
      <c r="N46" s="531">
        <f>'DATA 2'!P39*'DATA 2'!P80/1000</f>
        <v>186.41469241379315</v>
      </c>
      <c r="O46" s="374"/>
      <c r="P46" s="371"/>
      <c r="Q46" s="385"/>
      <c r="R46" s="371"/>
      <c r="S46" s="348"/>
      <c r="T46" s="143"/>
      <c r="U46" s="341"/>
    </row>
    <row r="47" spans="1:21" ht="15" customHeight="1">
      <c r="A47" s="157" t="s">
        <v>101</v>
      </c>
      <c r="B47" s="160">
        <f>'DATA 2'!D40*'DATA 2'!D81/1000</f>
        <v>0</v>
      </c>
      <c r="C47" s="160">
        <f>'DATA 2'!E40*'DATA 2'!E81/1000</f>
        <v>6.958601034283633</v>
      </c>
      <c r="D47" s="160">
        <f>'DATA 2'!F40*'DATA 2'!F81/1000</f>
        <v>8.266818028728956</v>
      </c>
      <c r="E47" s="160">
        <f>'DATA 2'!G40*'DATA 2'!G81/1000</f>
        <v>10.103888701779837</v>
      </c>
      <c r="F47" s="160">
        <f>'DATA 2'!H40*'DATA 2'!H81/1000</f>
        <v>11.855229410088345</v>
      </c>
      <c r="G47" s="160">
        <f>'DATA 2'!I40*'DATA 2'!I81/1000</f>
        <v>14.26332288401254</v>
      </c>
      <c r="H47" s="543">
        <f>'DATA 2'!J40*'DATA 2'!J81/1000</f>
        <v>17.03448275862069</v>
      </c>
      <c r="I47" s="160">
        <f>'DATA 2'!K40*'DATA 2'!K81/1000</f>
        <v>21.156827586206898</v>
      </c>
      <c r="J47" s="160">
        <f>'DATA 2'!L40*'DATA 2'!L81/1000</f>
        <v>26.276779862068967</v>
      </c>
      <c r="K47" s="160">
        <f>'DATA 2'!M40*'DATA 2'!M81/1000</f>
        <v>32.63576058868966</v>
      </c>
      <c r="L47" s="160">
        <f>'DATA 2'!N40*'DATA 2'!N81/1000</f>
        <v>40.533614651152554</v>
      </c>
      <c r="M47" s="160">
        <f>'DATA 2'!O40*'DATA 2'!O81/1000</f>
        <v>50.34274939673146</v>
      </c>
      <c r="N47" s="531">
        <f>'DATA 2'!P40*'DATA 2'!P81/1000</f>
        <v>62.52569475074048</v>
      </c>
      <c r="O47" s="374"/>
      <c r="P47" s="371"/>
      <c r="Q47" s="385"/>
      <c r="R47" s="371"/>
      <c r="S47" s="348"/>
      <c r="T47" s="143"/>
      <c r="U47" s="341"/>
    </row>
    <row r="48" spans="1:21" ht="15" customHeight="1">
      <c r="A48" s="157" t="s">
        <v>16</v>
      </c>
      <c r="B48" s="160">
        <f>'DATA 2'!D41*'DATA 2'!D82/1000</f>
        <v>0</v>
      </c>
      <c r="C48" s="160">
        <f>'DATA 2'!E41*'DATA 2'!E82/1000</f>
        <v>0.14872565248002828</v>
      </c>
      <c r="D48" s="160">
        <f>'DATA 2'!F41*'DATA 2'!F82/1000</f>
        <v>0.4595622661632874</v>
      </c>
      <c r="E48" s="160">
        <f>'DATA 2'!G41*'DATA 2'!G82/1000</f>
        <v>0.7889152235803101</v>
      </c>
      <c r="F48" s="160">
        <f>'DATA 2'!H41*'DATA 2'!H82/1000</f>
        <v>1.6251653605754386</v>
      </c>
      <c r="G48" s="160">
        <f>'DATA 2'!I41*'DATA 2'!I82/1000</f>
        <v>2.678272514228323</v>
      </c>
      <c r="H48" s="543">
        <f>'DATA 2'!J41*'DATA 2'!J82/1000</f>
        <v>4.310344827586207</v>
      </c>
      <c r="I48" s="160">
        <f>'DATA 2'!K41*'DATA 2'!K82/1000</f>
        <v>5.993534482758621</v>
      </c>
      <c r="J48" s="160">
        <f>'DATA 2'!L41*'DATA 2'!L82/1000</f>
        <v>8.334009698275864</v>
      </c>
      <c r="K48" s="160">
        <f>'DATA 2'!M41*'DATA 2'!M82/1000</f>
        <v>11.588440485452589</v>
      </c>
      <c r="L48" s="160">
        <f>'DATA 2'!N41*'DATA 2'!N82/1000</f>
        <v>16.113726495021826</v>
      </c>
      <c r="M48" s="160">
        <f>'DATA 2'!O41*'DATA 2'!O82/1000</f>
        <v>22.406136691327852</v>
      </c>
      <c r="N48" s="531">
        <f>'DATA 2'!P41*'DATA 2'!P82/1000</f>
        <v>31.155733069291383</v>
      </c>
      <c r="O48" s="374"/>
      <c r="P48" s="371"/>
      <c r="Q48" s="385"/>
      <c r="R48" s="371"/>
      <c r="S48" s="348"/>
      <c r="T48" s="143"/>
      <c r="U48" s="341"/>
    </row>
    <row r="49" spans="1:21" ht="15" customHeight="1">
      <c r="A49" s="348" t="s">
        <v>172</v>
      </c>
      <c r="B49" s="160">
        <f>0.15*(B88+B89+B90)</f>
        <v>40.51548109953704</v>
      </c>
      <c r="C49" s="160">
        <f aca="true" t="shared" si="5" ref="C49:N49">0.15*(C88+C89+C90)</f>
        <v>38.49362291666666</v>
      </c>
      <c r="D49" s="160">
        <f t="shared" si="5"/>
        <v>43.130788321720985</v>
      </c>
      <c r="E49" s="160">
        <f t="shared" si="5"/>
        <v>41.782147499999994</v>
      </c>
      <c r="F49" s="160">
        <f t="shared" si="5"/>
        <v>43.548458333333336</v>
      </c>
      <c r="G49" s="160">
        <f t="shared" si="5"/>
        <v>48.48806</v>
      </c>
      <c r="H49" s="543">
        <f t="shared" si="5"/>
        <v>52.402129949999996</v>
      </c>
      <c r="I49" s="160">
        <f t="shared" si="5"/>
        <v>58.49087847885001</v>
      </c>
      <c r="J49" s="160">
        <f t="shared" si="5"/>
        <v>65.92602998666565</v>
      </c>
      <c r="K49" s="160">
        <f t="shared" si="5"/>
        <v>74.95491528329998</v>
      </c>
      <c r="L49" s="160">
        <f t="shared" si="5"/>
        <v>85.8754579673116</v>
      </c>
      <c r="M49" s="160">
        <f t="shared" si="5"/>
        <v>99.04617041367767</v>
      </c>
      <c r="N49" s="531">
        <f t="shared" si="5"/>
        <v>114.89815697242533</v>
      </c>
      <c r="O49" s="374"/>
      <c r="P49" s="371"/>
      <c r="Q49" s="385"/>
      <c r="R49" s="371"/>
      <c r="S49" s="540" t="s">
        <v>96</v>
      </c>
      <c r="T49" s="377"/>
      <c r="U49" s="377"/>
    </row>
    <row r="50" spans="1:21" ht="15" customHeight="1">
      <c r="A50" s="348" t="s">
        <v>327</v>
      </c>
      <c r="B50" s="160">
        <f>0.15*B93</f>
        <v>30.843995098825012</v>
      </c>
      <c r="C50" s="160">
        <f aca="true" t="shared" si="6" ref="C50:N50">0.15*C93</f>
        <v>32.430350515422916</v>
      </c>
      <c r="D50" s="160">
        <f t="shared" si="6"/>
        <v>37.010141282400454</v>
      </c>
      <c r="E50" s="160">
        <f t="shared" si="6"/>
        <v>43.55122440833959</v>
      </c>
      <c r="F50" s="160">
        <f t="shared" si="6"/>
        <v>48.959833748708675</v>
      </c>
      <c r="G50" s="160">
        <f t="shared" si="6"/>
        <v>52.124065365886366</v>
      </c>
      <c r="H50" s="543">
        <f t="shared" si="6"/>
        <v>52.55049473079071</v>
      </c>
      <c r="I50" s="160">
        <f t="shared" si="6"/>
        <v>54.862716498945495</v>
      </c>
      <c r="J50" s="160">
        <f t="shared" si="6"/>
        <v>57.276676024899096</v>
      </c>
      <c r="K50" s="160">
        <f t="shared" si="6"/>
        <v>59.79684976999465</v>
      </c>
      <c r="L50" s="160">
        <f t="shared" si="6"/>
        <v>62.42791115987442</v>
      </c>
      <c r="M50" s="160">
        <f t="shared" si="6"/>
        <v>65.17473925090889</v>
      </c>
      <c r="N50" s="531">
        <f t="shared" si="6"/>
        <v>68.04242777794887</v>
      </c>
      <c r="O50" s="374"/>
      <c r="P50" s="371"/>
      <c r="Q50" s="385"/>
      <c r="R50" s="371"/>
      <c r="S50" s="559" t="s">
        <v>279</v>
      </c>
      <c r="T50" s="377"/>
      <c r="U50" s="377"/>
    </row>
    <row r="51" spans="1:21" ht="15" customHeight="1">
      <c r="A51" s="555" t="s">
        <v>328</v>
      </c>
      <c r="B51" s="556">
        <f>SUM(B32:B50)</f>
        <v>1553.6329005772363</v>
      </c>
      <c r="C51" s="556">
        <f>SUM(C32:C50)</f>
        <v>1627.248964787018</v>
      </c>
      <c r="D51" s="556">
        <f>SUM(D32:D50)</f>
        <v>1717.9783341224565</v>
      </c>
      <c r="E51" s="556">
        <f>SUM(E32:E50)</f>
        <v>1819.7281109550383</v>
      </c>
      <c r="F51" s="556">
        <f>SUM(F32:F50)</f>
        <v>1961.3614665469618</v>
      </c>
      <c r="G51" s="556">
        <f aca="true" t="shared" si="7" ref="G51:H51">SUM(G32:G50)</f>
        <v>2103.132272211158</v>
      </c>
      <c r="H51" s="557">
        <f t="shared" si="7"/>
        <v>2250.037322956653</v>
      </c>
      <c r="I51" s="556">
        <f>SUM(I32:I50)</f>
        <v>2350.447030322623</v>
      </c>
      <c r="J51" s="556">
        <f aca="true" t="shared" si="8" ref="J51:K51">SUM(J32:J50)</f>
        <v>2504.6897361891515</v>
      </c>
      <c r="K51" s="556">
        <f t="shared" si="8"/>
        <v>2680.1013272358523</v>
      </c>
      <c r="L51" s="556">
        <f>SUM(L32:L50)</f>
        <v>2881.066514479816</v>
      </c>
      <c r="M51" s="556">
        <f>SUM(M32:M50)</f>
        <v>3113.542399908751</v>
      </c>
      <c r="N51" s="558">
        <f>SUM(N32:N50)</f>
        <v>3385.822139898259</v>
      </c>
      <c r="O51" s="560">
        <v>0.06</v>
      </c>
      <c r="P51" s="561">
        <v>0.065</v>
      </c>
      <c r="Q51" s="385"/>
      <c r="R51" s="371"/>
      <c r="S51" s="157" t="s">
        <v>5</v>
      </c>
      <c r="T51" s="377"/>
      <c r="U51" s="377"/>
    </row>
    <row r="52" spans="1:21" ht="15" customHeight="1">
      <c r="A52" s="374"/>
      <c r="B52" s="375"/>
      <c r="C52" s="375"/>
      <c r="D52" s="382"/>
      <c r="E52" s="375"/>
      <c r="F52" s="375"/>
      <c r="G52" s="375"/>
      <c r="H52" s="376"/>
      <c r="I52" s="375"/>
      <c r="J52" s="375"/>
      <c r="K52" s="375"/>
      <c r="L52" s="375"/>
      <c r="M52" s="375"/>
      <c r="N52" s="375"/>
      <c r="O52" s="377"/>
      <c r="Q52" s="377"/>
      <c r="R52" s="371"/>
      <c r="S52" s="157" t="s">
        <v>33</v>
      </c>
      <c r="T52" s="377"/>
      <c r="U52" s="377"/>
    </row>
    <row r="53" spans="1:21" ht="15" customHeight="1">
      <c r="A53" s="371"/>
      <c r="B53" s="371"/>
      <c r="C53" s="371"/>
      <c r="D53" s="374"/>
      <c r="E53" s="374"/>
      <c r="F53" s="374"/>
      <c r="G53" s="374"/>
      <c r="H53" s="383"/>
      <c r="I53" s="371"/>
      <c r="J53" s="371"/>
      <c r="K53" s="371"/>
      <c r="L53" s="371"/>
      <c r="M53" s="371"/>
      <c r="N53" s="374"/>
      <c r="O53" s="377"/>
      <c r="P53" s="371"/>
      <c r="Q53" s="377"/>
      <c r="R53" s="371"/>
      <c r="S53" s="157" t="s">
        <v>101</v>
      </c>
      <c r="T53" s="377"/>
      <c r="U53" s="377"/>
    </row>
    <row r="54" spans="1:18" s="143" customFormat="1" ht="15" customHeight="1">
      <c r="A54" s="371"/>
      <c r="B54" s="371"/>
      <c r="C54" s="371"/>
      <c r="D54" s="371"/>
      <c r="E54" s="371"/>
      <c r="F54" s="371"/>
      <c r="G54" s="371"/>
      <c r="H54" s="384"/>
      <c r="I54" s="371"/>
      <c r="J54" s="371"/>
      <c r="K54" s="371"/>
      <c r="L54" s="371"/>
      <c r="M54" s="371"/>
      <c r="N54" s="371"/>
      <c r="O54" s="374"/>
      <c r="P54" s="374"/>
      <c r="Q54" s="385"/>
      <c r="R54" s="374"/>
    </row>
    <row r="55" spans="1:18" s="143" customFormat="1" ht="15" customHeight="1">
      <c r="A55" s="371"/>
      <c r="B55" s="371"/>
      <c r="C55" s="371"/>
      <c r="D55" s="371"/>
      <c r="E55" s="371"/>
      <c r="F55" s="371"/>
      <c r="G55" s="371"/>
      <c r="H55" s="384"/>
      <c r="I55" s="371"/>
      <c r="J55" s="371"/>
      <c r="K55" s="371"/>
      <c r="L55" s="371"/>
      <c r="M55" s="371"/>
      <c r="N55" s="371"/>
      <c r="O55" s="374"/>
      <c r="P55" s="374"/>
      <c r="Q55" s="385"/>
      <c r="R55" s="374"/>
    </row>
    <row r="56" spans="1:18" s="143" customFormat="1" ht="30" customHeight="1">
      <c r="A56" s="530" t="s">
        <v>330</v>
      </c>
      <c r="B56" s="331">
        <v>2013</v>
      </c>
      <c r="C56" s="331">
        <v>2014</v>
      </c>
      <c r="D56" s="331">
        <v>2015</v>
      </c>
      <c r="E56" s="331">
        <v>2016</v>
      </c>
      <c r="F56" s="331">
        <v>2017</v>
      </c>
      <c r="G56" s="331">
        <v>2018</v>
      </c>
      <c r="H56" s="562">
        <v>2019</v>
      </c>
      <c r="I56" s="331">
        <v>2020</v>
      </c>
      <c r="J56" s="331">
        <v>2021</v>
      </c>
      <c r="K56" s="331">
        <v>2022</v>
      </c>
      <c r="L56" s="331">
        <v>2023</v>
      </c>
      <c r="M56" s="331">
        <v>2024</v>
      </c>
      <c r="N56" s="332">
        <v>2025</v>
      </c>
      <c r="O56" s="374"/>
      <c r="P56" s="374"/>
      <c r="Q56" s="385"/>
      <c r="R56" s="374"/>
    </row>
    <row r="57" spans="1:18" ht="15" customHeight="1">
      <c r="A57" s="348" t="s">
        <v>74</v>
      </c>
      <c r="B57" s="160">
        <f>'DATA 2'!D105*'DATA 2'!D85/1000</f>
        <v>82.58831416080828</v>
      </c>
      <c r="C57" s="160">
        <f>'DATA 2'!E105*'DATA 2'!E85/1000</f>
        <v>78.45889845276785</v>
      </c>
      <c r="D57" s="160">
        <f>'DATA 2'!F105*'DATA 2'!F85/1000</f>
        <v>74.53595353012946</v>
      </c>
      <c r="E57" s="160">
        <f>'DATA 2'!G105*'DATA 2'!G85/1000</f>
        <v>70.80915585362298</v>
      </c>
      <c r="F57" s="160">
        <f>'DATA 2'!H105*'DATA 2'!H85/1000</f>
        <v>67.26869806094184</v>
      </c>
      <c r="G57" s="160">
        <f>'DATA 2'!I105*'DATA 2'!I85/1000</f>
        <v>63.90526315789474</v>
      </c>
      <c r="H57" s="543">
        <f>'DATA 2'!J105*'DATA 2'!J85/1000</f>
        <v>60.71</v>
      </c>
      <c r="I57" s="160">
        <f>'DATA 2'!K105*'DATA 2'!K85/1000</f>
        <v>60.1029</v>
      </c>
      <c r="J57" s="160">
        <f>'DATA 2'!L105*'DATA 2'!L85/1000</f>
        <v>59.501870999999994</v>
      </c>
      <c r="K57" s="160">
        <f>'DATA 2'!M105*'DATA 2'!M85/1000</f>
        <v>58.906852289999996</v>
      </c>
      <c r="L57" s="160">
        <f>'DATA 2'!N105*'DATA 2'!N85/1000</f>
        <v>58.31778376709999</v>
      </c>
      <c r="M57" s="160">
        <f>'DATA 2'!O105*'DATA 2'!O85/1000</f>
        <v>57.73460592942899</v>
      </c>
      <c r="N57" s="531">
        <f>'DATA 2'!P105*'DATA 2'!P85/1000</f>
        <v>57.157259870134695</v>
      </c>
      <c r="O57" s="371"/>
      <c r="P57" s="371"/>
      <c r="Q57" s="385"/>
      <c r="R57" s="371"/>
    </row>
    <row r="58" spans="1:18" ht="15" customHeight="1">
      <c r="A58" s="348" t="s">
        <v>76</v>
      </c>
      <c r="B58" s="160">
        <f>'DATA 2'!D106*'DATA 2'!D86/1000</f>
        <v>42.711697090866366</v>
      </c>
      <c r="C58" s="160">
        <f>'DATA 2'!E106*'DATA 2'!E86/1000</f>
        <v>43.99304800359236</v>
      </c>
      <c r="D58" s="160">
        <f>'DATA 2'!F106*'DATA 2'!F86/1000</f>
        <v>45.31283944370013</v>
      </c>
      <c r="E58" s="160">
        <f>'DATA 2'!G106*'DATA 2'!G86/1000</f>
        <v>46.672224627011126</v>
      </c>
      <c r="F58" s="160">
        <f>'DATA 2'!H106*'DATA 2'!H86/1000</f>
        <v>48.07239136582147</v>
      </c>
      <c r="G58" s="160">
        <f>'DATA 2'!I106*'DATA 2'!I86/1000</f>
        <v>49.51456310679612</v>
      </c>
      <c r="H58" s="543">
        <f>'DATA 2'!J106*'DATA 2'!J86/1000</f>
        <v>51</v>
      </c>
      <c r="I58" s="160">
        <f>'DATA 2'!K106*'DATA 2'!K86/1000</f>
        <v>59.5</v>
      </c>
      <c r="J58" s="160">
        <f>'DATA 2'!L106*'DATA 2'!L86/1000</f>
        <v>59.5</v>
      </c>
      <c r="K58" s="160">
        <f>'DATA 2'!M106*'DATA 2'!M86/1000</f>
        <v>61.28500000000001</v>
      </c>
      <c r="L58" s="160">
        <f>'DATA 2'!N106*'DATA 2'!N86/1000</f>
        <v>63.12355</v>
      </c>
      <c r="M58" s="160">
        <f>'DATA 2'!O106*'DATA 2'!O86/1000</f>
        <v>65.0172565</v>
      </c>
      <c r="N58" s="531">
        <f>'DATA 2'!P106*'DATA 2'!P86/1000</f>
        <v>66.967774195</v>
      </c>
      <c r="O58" s="371"/>
      <c r="P58" s="371"/>
      <c r="Q58" s="385"/>
      <c r="R58" s="371"/>
    </row>
    <row r="59" spans="1:18" ht="15" customHeight="1">
      <c r="A59" s="348" t="s">
        <v>78</v>
      </c>
      <c r="B59" s="160">
        <f>'DATA 2'!D107*'DATA 2'!D87/1000</f>
        <v>49.547513061936534</v>
      </c>
      <c r="C59" s="160">
        <f>'DATA 2'!E107*'DATA 2'!E87/1000</f>
        <v>49.052037931317166</v>
      </c>
      <c r="D59" s="160">
        <f>'DATA 2'!F107*'DATA 2'!F87/1000</f>
        <v>48.56151755200399</v>
      </c>
      <c r="E59" s="160">
        <f>'DATA 2'!G107*'DATA 2'!G87/1000</f>
        <v>48.07590237648395</v>
      </c>
      <c r="F59" s="160">
        <f>'DATA 2'!H107*'DATA 2'!H87/1000</f>
        <v>47.59514335271911</v>
      </c>
      <c r="G59" s="160">
        <f>'DATA 2'!I107*'DATA 2'!I87/1000</f>
        <v>47.11919191919192</v>
      </c>
      <c r="H59" s="543">
        <f>'DATA 2'!J107*'DATA 2'!J87/1000</f>
        <v>46.648</v>
      </c>
      <c r="I59" s="160">
        <f>'DATA 2'!K107*'DATA 2'!K87/1000</f>
        <v>47.11448</v>
      </c>
      <c r="J59" s="160">
        <f>'DATA 2'!L107*'DATA 2'!L87/1000</f>
        <v>47.585624800000005</v>
      </c>
      <c r="K59" s="160">
        <f>'DATA 2'!M107*'DATA 2'!M87/1000</f>
        <v>48.061481048000005</v>
      </c>
      <c r="L59" s="160">
        <f>'DATA 2'!N107*'DATA 2'!N87/1000</f>
        <v>48.54209585848001</v>
      </c>
      <c r="M59" s="160">
        <f>'DATA 2'!O107*'DATA 2'!O87/1000</f>
        <v>49.0275168170648</v>
      </c>
      <c r="N59" s="531">
        <f>'DATA 2'!P107*'DATA 2'!P87/1000</f>
        <v>49.517791985235455</v>
      </c>
      <c r="O59" s="371"/>
      <c r="P59" s="371"/>
      <c r="Q59" s="385"/>
      <c r="R59" s="371"/>
    </row>
    <row r="60" spans="1:18" ht="15" customHeight="1">
      <c r="A60" s="348" t="s">
        <v>79</v>
      </c>
      <c r="B60" s="160">
        <f>'DATA 2'!D108*'DATA 2'!D88/1000</f>
        <v>36.268741557286965</v>
      </c>
      <c r="C60" s="160">
        <f>'DATA 2'!E108*'DATA 2'!E88/1000</f>
        <v>36.63142897285984</v>
      </c>
      <c r="D60" s="160">
        <f>'DATA 2'!F108*'DATA 2'!F88/1000</f>
        <v>36.99774326258843</v>
      </c>
      <c r="E60" s="160">
        <f>'DATA 2'!G108*'DATA 2'!G88/1000</f>
        <v>37.36772069521431</v>
      </c>
      <c r="F60" s="160">
        <f>'DATA 2'!H108*'DATA 2'!H88/1000</f>
        <v>37.741397902166455</v>
      </c>
      <c r="G60" s="160">
        <f>'DATA 2'!I108*'DATA 2'!I88/1000</f>
        <v>38.11881188118812</v>
      </c>
      <c r="H60" s="543">
        <f>'DATA 2'!J108*'DATA 2'!J88/1000</f>
        <v>38.5</v>
      </c>
      <c r="I60" s="160">
        <f>'DATA 2'!K108*'DATA 2'!K88/1000</f>
        <v>38.885</v>
      </c>
      <c r="J60" s="160">
        <f>'DATA 2'!L108*'DATA 2'!L88/1000</f>
        <v>39.27385</v>
      </c>
      <c r="K60" s="160">
        <f>'DATA 2'!M108*'DATA 2'!M88/1000</f>
        <v>39.6665885</v>
      </c>
      <c r="L60" s="160">
        <f>'DATA 2'!N108*'DATA 2'!N88/1000</f>
        <v>40.06325438500001</v>
      </c>
      <c r="M60" s="160">
        <f>'DATA 2'!O108*'DATA 2'!O88/1000</f>
        <v>40.463886928850016</v>
      </c>
      <c r="N60" s="531">
        <f>'DATA 2'!P108*'DATA 2'!P88/1000</f>
        <v>40.86852579813851</v>
      </c>
      <c r="O60" s="371"/>
      <c r="P60" s="371"/>
      <c r="Q60" s="385"/>
      <c r="R60" s="371"/>
    </row>
    <row r="61" spans="1:18" ht="15" customHeight="1">
      <c r="A61" s="348" t="s">
        <v>81</v>
      </c>
      <c r="B61" s="160">
        <f>'DATA 2'!D109*'DATA 2'!D89/1000</f>
        <v>105.30875973176784</v>
      </c>
      <c r="C61" s="160">
        <f>'DATA 2'!E109*'DATA 2'!E89/1000</f>
        <v>112.36444663379626</v>
      </c>
      <c r="D61" s="160">
        <f>'DATA 2'!F109*'DATA 2'!F89/1000</f>
        <v>119.89286455826063</v>
      </c>
      <c r="E61" s="160">
        <f>'DATA 2'!G109*'DATA 2'!G89/1000</f>
        <v>127.9256864836641</v>
      </c>
      <c r="F61" s="160">
        <f>'DATA 2'!H109*'DATA 2'!H89/1000</f>
        <v>136.4967074780696</v>
      </c>
      <c r="G61" s="160">
        <f>'DATA 2'!I109*'DATA 2'!I89/1000</f>
        <v>145.64198687910027</v>
      </c>
      <c r="H61" s="543">
        <f>'DATA 2'!J109*'DATA 2'!J89/1000</f>
        <v>155.4</v>
      </c>
      <c r="I61" s="160">
        <f>'DATA 2'!K109*'DATA 2'!K89/1000</f>
        <v>153.75275999999997</v>
      </c>
      <c r="J61" s="160">
        <f>'DATA 2'!L109*'DATA 2'!L89/1000</f>
        <v>152.12298074399996</v>
      </c>
      <c r="K61" s="160">
        <f>'DATA 2'!M109*'DATA 2'!M89/1000</f>
        <v>150.51047714811358</v>
      </c>
      <c r="L61" s="160">
        <f>'DATA 2'!N109*'DATA 2'!N89/1000</f>
        <v>148.91506609034357</v>
      </c>
      <c r="M61" s="160">
        <f>'DATA 2'!O109*'DATA 2'!O89/1000</f>
        <v>147.33656638978596</v>
      </c>
      <c r="N61" s="531">
        <f>'DATA 2'!P109*'DATA 2'!P89/1000</f>
        <v>145.77479878605422</v>
      </c>
      <c r="O61" s="371"/>
      <c r="P61" s="371"/>
      <c r="Q61" s="385"/>
      <c r="R61" s="371"/>
    </row>
    <row r="62" spans="1:18" ht="15" customHeight="1">
      <c r="A62" s="348" t="s">
        <v>30</v>
      </c>
      <c r="B62" s="160">
        <f>'DATA 2'!D110*'DATA 2'!D90/1000</f>
        <v>7.221267288111202</v>
      </c>
      <c r="C62" s="160">
        <f>'DATA 2'!E110*'DATA 2'!E90/1000</f>
        <v>8.65829947844533</v>
      </c>
      <c r="D62" s="160">
        <f>'DATA 2'!F110*'DATA 2'!F90/1000</f>
        <v>10.381301074655953</v>
      </c>
      <c r="E62" s="160">
        <f>'DATA 2'!G110*'DATA 2'!G90/1000</f>
        <v>12.447179988512492</v>
      </c>
      <c r="F62" s="160">
        <f>'DATA 2'!H110*'DATA 2'!H90/1000</f>
        <v>14.924168806226481</v>
      </c>
      <c r="G62" s="160">
        <f>'DATA 2'!I110*'DATA 2'!I90/1000</f>
        <v>17.894078398665552</v>
      </c>
      <c r="H62" s="543">
        <f>'DATA 2'!J110*'DATA 2'!J90/1000</f>
        <v>21.455</v>
      </c>
      <c r="I62" s="160">
        <f>'DATA 2'!K110*'DATA 2'!K90/1000</f>
        <v>24.563829500000004</v>
      </c>
      <c r="J62" s="160">
        <f>'DATA 2'!L110*'DATA 2'!L90/1000</f>
        <v>28.123128394550008</v>
      </c>
      <c r="K62" s="160">
        <f>'DATA 2'!M110*'DATA 2'!M90/1000</f>
        <v>32.19816969892031</v>
      </c>
      <c r="L62" s="160">
        <f>'DATA 2'!N110*'DATA 2'!N90/1000</f>
        <v>36.86368448829387</v>
      </c>
      <c r="M62" s="160">
        <f>'DATA 2'!O110*'DATA 2'!O90/1000</f>
        <v>42.20523237064765</v>
      </c>
      <c r="N62" s="531">
        <f>'DATA 2'!P110*'DATA 2'!P90/1000</f>
        <v>48.3207705411545</v>
      </c>
      <c r="O62" s="371"/>
      <c r="P62" s="371"/>
      <c r="Q62" s="385"/>
      <c r="R62" s="371"/>
    </row>
    <row r="63" spans="1:18" ht="15" customHeight="1">
      <c r="A63" s="348" t="s">
        <v>84</v>
      </c>
      <c r="B63" s="160">
        <f>'DATA 2'!D111*'DATA 2'!D91/1000</f>
        <v>4.301291347009782</v>
      </c>
      <c r="C63" s="160">
        <f>'DATA 2'!E111*'DATA 2'!E91/1000</f>
        <v>4.73142048171076</v>
      </c>
      <c r="D63" s="160">
        <f>'DATA 2'!F111*'DATA 2'!F91/1000</f>
        <v>5.204562529881837</v>
      </c>
      <c r="E63" s="160">
        <f>'DATA 2'!G111*'DATA 2'!G91/1000</f>
        <v>5.725018782870021</v>
      </c>
      <c r="F63" s="160">
        <f>'DATA 2'!H111*'DATA 2'!H91/1000</f>
        <v>6.297520661157024</v>
      </c>
      <c r="G63" s="160">
        <f>'DATA 2'!I111*'DATA 2'!I91/1000</f>
        <v>6.927272727272727</v>
      </c>
      <c r="H63" s="543">
        <f>'DATA 2'!J111*'DATA 2'!J91/1000</f>
        <v>7.62</v>
      </c>
      <c r="I63" s="160">
        <f>'DATA 2'!K111*'DATA 2'!K91/1000</f>
        <v>8.305800000000001</v>
      </c>
      <c r="J63" s="160">
        <f>'DATA 2'!L111*'DATA 2'!L91/1000</f>
        <v>9.053322000000001</v>
      </c>
      <c r="K63" s="160">
        <f>'DATA 2'!M111*'DATA 2'!M91/1000</f>
        <v>9.868120980000004</v>
      </c>
      <c r="L63" s="160">
        <f>'DATA 2'!N111*'DATA 2'!N91/1000</f>
        <v>10.756251868200005</v>
      </c>
      <c r="M63" s="160">
        <f>'DATA 2'!O111*'DATA 2'!O91/1000</f>
        <v>11.724314536338007</v>
      </c>
      <c r="N63" s="531">
        <f>'DATA 2'!P111*'DATA 2'!P91/1000</f>
        <v>12.779502844608425</v>
      </c>
      <c r="O63" s="371"/>
      <c r="P63" s="371"/>
      <c r="Q63" s="385"/>
      <c r="R63" s="371"/>
    </row>
    <row r="64" spans="1:18" ht="15" customHeight="1">
      <c r="A64" s="348" t="s">
        <v>86</v>
      </c>
      <c r="B64" s="160">
        <f>'DATA 2'!D112*'DATA 2'!D92/1000</f>
        <v>5.732474550357578</v>
      </c>
      <c r="C64" s="160">
        <f>'DATA 2'!E112*'DATA 2'!E92/1000</f>
        <v>4.872603367803941</v>
      </c>
      <c r="D64" s="160">
        <f>'DATA 2'!F112*'DATA 2'!F92/1000</f>
        <v>4.14171286263335</v>
      </c>
      <c r="E64" s="160">
        <f>'DATA 2'!G112*'DATA 2'!G92/1000</f>
        <v>3.520455933238347</v>
      </c>
      <c r="F64" s="160">
        <f>'DATA 2'!H112*'DATA 2'!H92/1000</f>
        <v>2.9923875432525953</v>
      </c>
      <c r="G64" s="160">
        <f>'DATA 2'!I112*'DATA 2'!I92/1000</f>
        <v>2.543529411764706</v>
      </c>
      <c r="H64" s="543">
        <f>'DATA 2'!J112*'DATA 2'!J92/1000</f>
        <v>2.162</v>
      </c>
      <c r="I64" s="160">
        <f>'DATA 2'!K112*'DATA 2'!K92/1000</f>
        <v>1.9674200000000002</v>
      </c>
      <c r="J64" s="160">
        <f>'DATA 2'!L112*'DATA 2'!L92/1000</f>
        <v>1.7903522</v>
      </c>
      <c r="K64" s="160">
        <f>'DATA 2'!M112*'DATA 2'!M92/1000</f>
        <v>1.6292205020000001</v>
      </c>
      <c r="L64" s="160">
        <f>'DATA 2'!N112*'DATA 2'!N92/1000</f>
        <v>1.4825906568200002</v>
      </c>
      <c r="M64" s="160">
        <f>'DATA 2'!O112*'DATA 2'!O92/1000</f>
        <v>1.3491574977062002</v>
      </c>
      <c r="N64" s="531">
        <f>'DATA 2'!P112*'DATA 2'!P92/1000</f>
        <v>1.2277333229126424</v>
      </c>
      <c r="O64" s="371"/>
      <c r="P64" s="371"/>
      <c r="Q64" s="385"/>
      <c r="R64" s="371"/>
    </row>
    <row r="65" spans="1:18" ht="15" customHeight="1">
      <c r="A65" s="540" t="s">
        <v>88</v>
      </c>
      <c r="B65" s="160">
        <f>'DATA 2'!D113*'DATA 2'!D93/1000</f>
        <v>19.059965952</v>
      </c>
      <c r="C65" s="160">
        <f>'DATA 2'!E113*'DATA 2'!E93/1000</f>
        <v>23.824957440000002</v>
      </c>
      <c r="D65" s="160">
        <f>'DATA 2'!F113*'DATA 2'!F93/1000</f>
        <v>29.7811968</v>
      </c>
      <c r="E65" s="160">
        <f>'DATA 2'!G113*'DATA 2'!G93/1000</f>
        <v>37.226496</v>
      </c>
      <c r="F65" s="160">
        <f>'DATA 2'!H113*'DATA 2'!H93/1000</f>
        <v>46.53312</v>
      </c>
      <c r="G65" s="160">
        <f>'DATA 2'!I113*'DATA 2'!I93/1000</f>
        <v>58.1664</v>
      </c>
      <c r="H65" s="543">
        <f>'DATA 2'!J113*'DATA 2'!J93/1000</f>
        <v>72.708</v>
      </c>
      <c r="I65" s="160">
        <f>'DATA 2'!K113*'DATA 2'!K93/1000</f>
        <v>86.34074999999999</v>
      </c>
      <c r="J65" s="160">
        <f>'DATA 2'!L113*'DATA 2'!L93/1000</f>
        <v>102.52964062499998</v>
      </c>
      <c r="K65" s="160">
        <f>'DATA 2'!M113*'DATA 2'!M93/1000</f>
        <v>121.75394824218749</v>
      </c>
      <c r="L65" s="160">
        <f>'DATA 2'!N113*'DATA 2'!N93/1000</f>
        <v>144.58281353759762</v>
      </c>
      <c r="M65" s="160">
        <f>'DATA 2'!O113*'DATA 2'!O93/1000</f>
        <v>171.6920910758972</v>
      </c>
      <c r="N65" s="531">
        <f>'DATA 2'!P113*'DATA 2'!P93/1000</f>
        <v>203.8843581526279</v>
      </c>
      <c r="O65" s="371"/>
      <c r="P65" s="371"/>
      <c r="Q65" s="385"/>
      <c r="R65" s="371"/>
    </row>
    <row r="66" spans="1:18" ht="15" customHeight="1">
      <c r="A66" s="348" t="s">
        <v>90</v>
      </c>
      <c r="B66" s="160">
        <f>'DATA 2'!D114*'DATA 2'!D94/1000</f>
        <v>526.7244647479677</v>
      </c>
      <c r="C66" s="160">
        <f>'DATA 2'!E114*'DATA 2'!E94/1000</f>
        <v>523.9328250848033</v>
      </c>
      <c r="D66" s="160">
        <f>'DATA 2'!F114*'DATA 2'!F94/1000</f>
        <v>521.1559811118537</v>
      </c>
      <c r="E66" s="160">
        <f>'DATA 2'!G114*'DATA 2'!G94/1000</f>
        <v>518.3938544119609</v>
      </c>
      <c r="F66" s="160">
        <f>'DATA 2'!H114*'DATA 2'!H94/1000</f>
        <v>515.6463669835774</v>
      </c>
      <c r="G66" s="160">
        <f>'DATA 2'!I114*'DATA 2'!I94/1000</f>
        <v>512.9134412385645</v>
      </c>
      <c r="H66" s="543">
        <f>'DATA 2'!J114*'DATA 2'!J94/1000</f>
        <v>510.195</v>
      </c>
      <c r="I66" s="160">
        <f>'DATA 2'!K114*'DATA 2'!K94/1000</f>
        <v>533.38336275</v>
      </c>
      <c r="J66" s="160">
        <f>'DATA 2'!L114*'DATA 2'!L94/1000</f>
        <v>557.6256365869875</v>
      </c>
      <c r="K66" s="160">
        <f>'DATA 2'!M114*'DATA 2'!M94/1000</f>
        <v>582.969721769866</v>
      </c>
      <c r="L66" s="160">
        <f>'DATA 2'!N114*'DATA 2'!N94/1000</f>
        <v>609.4656956243065</v>
      </c>
      <c r="M66" s="160">
        <f>'DATA 2'!O114*'DATA 2'!O94/1000</f>
        <v>637.1659114904312</v>
      </c>
      <c r="N66" s="531">
        <f>'DATA 2'!P114*'DATA 2'!P94/1000</f>
        <v>666.1251021676712</v>
      </c>
      <c r="O66" s="371"/>
      <c r="P66" s="371"/>
      <c r="Q66" s="385"/>
      <c r="R66" s="371"/>
    </row>
    <row r="67" spans="1:18" ht="15" customHeight="1">
      <c r="A67" s="348" t="s">
        <v>92</v>
      </c>
      <c r="B67" s="160">
        <f>'DATA 2'!D115*'DATA 2'!D95/1000</f>
        <v>12.418426461183097</v>
      </c>
      <c r="C67" s="160">
        <f>'DATA 2'!E115*'DATA 2'!E95/1000</f>
        <v>13.660269107301408</v>
      </c>
      <c r="D67" s="160">
        <f>'DATA 2'!F115*'DATA 2'!F95/1000</f>
        <v>15.026296018031552</v>
      </c>
      <c r="E67" s="160">
        <f>'DATA 2'!G115*'DATA 2'!G95/1000</f>
        <v>16.528925619834705</v>
      </c>
      <c r="F67" s="160">
        <f>'DATA 2'!H115*'DATA 2'!H95/1000</f>
        <v>18.181818181818176</v>
      </c>
      <c r="G67" s="160">
        <f>'DATA 2'!I115*'DATA 2'!I95/1000</f>
        <v>19.999999999999996</v>
      </c>
      <c r="H67" s="543">
        <f>'DATA 2'!J115*'DATA 2'!J95/1000</f>
        <v>22</v>
      </c>
      <c r="I67" s="160">
        <f>'DATA 2'!K115*'DATA 2'!K95/1000</f>
        <v>24.2</v>
      </c>
      <c r="J67" s="160">
        <f>'DATA 2'!L115*'DATA 2'!L95/1000</f>
        <v>26.62</v>
      </c>
      <c r="K67" s="160">
        <f>'DATA 2'!M115*'DATA 2'!M95/1000</f>
        <v>29.282000000000004</v>
      </c>
      <c r="L67" s="160">
        <f>'DATA 2'!N115*'DATA 2'!N95/1000</f>
        <v>32.21020000000001</v>
      </c>
      <c r="M67" s="160">
        <f>'DATA 2'!O115*'DATA 2'!O95/1000</f>
        <v>35.43122000000001</v>
      </c>
      <c r="N67" s="531">
        <f>'DATA 2'!P115*'DATA 2'!P95/1000</f>
        <v>38.974342000000014</v>
      </c>
      <c r="O67" s="371"/>
      <c r="P67" s="371"/>
      <c r="Q67" s="385"/>
      <c r="R67" s="371"/>
    </row>
    <row r="68" spans="1:18" ht="15" customHeight="1">
      <c r="A68" s="348" t="s">
        <v>94</v>
      </c>
      <c r="B68" s="160">
        <f>'DATA 2'!D116*'DATA 2'!D96/1000</f>
        <v>36.275436731013684</v>
      </c>
      <c r="C68" s="160">
        <f>'DATA 2'!E116*'DATA 2'!E96/1000</f>
        <v>37.72645420025424</v>
      </c>
      <c r="D68" s="160">
        <f>'DATA 2'!F116*'DATA 2'!F96/1000</f>
        <v>39.2355123682644</v>
      </c>
      <c r="E68" s="160">
        <f>'DATA 2'!G116*'DATA 2'!G96/1000</f>
        <v>40.80493286299498</v>
      </c>
      <c r="F68" s="160">
        <f>'DATA 2'!H116*'DATA 2'!H96/1000</f>
        <v>42.43713017751479</v>
      </c>
      <c r="G68" s="160">
        <f>'DATA 2'!I116*'DATA 2'!I96/1000</f>
        <v>44.13461538461538</v>
      </c>
      <c r="H68" s="543">
        <f>'DATA 2'!J116*'DATA 2'!J96/1000</f>
        <v>45.9</v>
      </c>
      <c r="I68" s="160">
        <f>'DATA 2'!K116*'DATA 2'!K96/1000</f>
        <v>46.9557</v>
      </c>
      <c r="J68" s="160">
        <f>'DATA 2'!L116*'DATA 2'!L96/1000</f>
        <v>48.03568109999999</v>
      </c>
      <c r="K68" s="160">
        <f>'DATA 2'!M116*'DATA 2'!M96/1000</f>
        <v>49.14050176529999</v>
      </c>
      <c r="L68" s="160">
        <f>'DATA 2'!N116*'DATA 2'!N96/1000</f>
        <v>50.27073330590188</v>
      </c>
      <c r="M68" s="160">
        <f>'DATA 2'!O116*'DATA 2'!O96/1000</f>
        <v>51.42696017193762</v>
      </c>
      <c r="N68" s="531">
        <f>'DATA 2'!P116*'DATA 2'!P96/1000</f>
        <v>52.60978025589218</v>
      </c>
      <c r="O68" s="371"/>
      <c r="P68" s="371"/>
      <c r="Q68" s="385"/>
      <c r="R68" s="371"/>
    </row>
    <row r="69" spans="1:18" ht="15" customHeight="1">
      <c r="A69" s="348" t="s">
        <v>96</v>
      </c>
      <c r="B69" s="160">
        <f>'DATA 2'!D117*'DATA 2'!D97/1000</f>
        <v>2.5360462675237647</v>
      </c>
      <c r="C69" s="160">
        <f>'DATA 2'!E117*'DATA 2'!E97/1000</f>
        <v>2.5867671928742397</v>
      </c>
      <c r="D69" s="160">
        <f>'DATA 2'!F117*'DATA 2'!F97/1000</f>
        <v>2.6385025367317243</v>
      </c>
      <c r="E69" s="160">
        <f>'DATA 2'!G117*'DATA 2'!G97/1000</f>
        <v>2.691272587466359</v>
      </c>
      <c r="F69" s="160">
        <f>'DATA 2'!H117*'DATA 2'!H97/1000</f>
        <v>2.7450980392156863</v>
      </c>
      <c r="G69" s="160">
        <f>'DATA 2'!I117*'DATA 2'!I97/1000</f>
        <v>2.8</v>
      </c>
      <c r="H69" s="543">
        <f>'DATA 2'!J117*'DATA 2'!J97/1000</f>
        <v>2.856</v>
      </c>
      <c r="I69" s="160">
        <f>'DATA 2'!K117*'DATA 2'!K97/1000</f>
        <v>2.9131199999999997</v>
      </c>
      <c r="J69" s="160">
        <f>'DATA 2'!L117*'DATA 2'!L97/1000</f>
        <v>2.9713824</v>
      </c>
      <c r="K69" s="160">
        <f>'DATA 2'!M117*'DATA 2'!M97/1000</f>
        <v>3.0308100479999998</v>
      </c>
      <c r="L69" s="160">
        <f>'DATA 2'!N117*'DATA 2'!N97/1000</f>
        <v>3.09142624896</v>
      </c>
      <c r="M69" s="160">
        <f>'DATA 2'!O117*'DATA 2'!O97/1000</f>
        <v>3.1532547739392003</v>
      </c>
      <c r="N69" s="531">
        <f>'DATA 2'!P117*'DATA 2'!P97/1000</f>
        <v>3.216319869417984</v>
      </c>
      <c r="O69" s="371"/>
      <c r="P69" s="371"/>
      <c r="Q69" s="385"/>
      <c r="R69" s="371"/>
    </row>
    <row r="70" spans="1:18" ht="15" customHeight="1">
      <c r="A70" s="157" t="s">
        <v>5</v>
      </c>
      <c r="B70" s="160">
        <f>'DATA 2'!D118*'DATA 2'!D98/1000</f>
        <v>0.011061728395061728</v>
      </c>
      <c r="C70" s="160">
        <f>'DATA 2'!E118*'DATA 2'!E98/1000</f>
        <v>0.016592592592592593</v>
      </c>
      <c r="D70" s="160">
        <f>'DATA 2'!F118*'DATA 2'!F98/1000</f>
        <v>0.02488888888888889</v>
      </c>
      <c r="E70" s="160">
        <f>'DATA 2'!G118*'DATA 2'!G98/1000</f>
        <v>0.037333333333333336</v>
      </c>
      <c r="F70" s="160">
        <f>'DATA 2'!H118*'DATA 2'!H98/1000</f>
        <v>0.056</v>
      </c>
      <c r="G70" s="160">
        <f>'DATA 2'!I118*'DATA 2'!I98/1000</f>
        <v>0.084</v>
      </c>
      <c r="H70" s="543">
        <f>'DATA 2'!J118*'DATA 2'!J98/1000</f>
        <v>0.126</v>
      </c>
      <c r="I70" s="160">
        <f>'DATA 2'!K118*'DATA 2'!K98/1000</f>
        <v>0.19278</v>
      </c>
      <c r="J70" s="160">
        <f>'DATA 2'!L118*'DATA 2'!L98/1000</f>
        <v>0.2949534</v>
      </c>
      <c r="K70" s="160">
        <f>'DATA 2'!M118*'DATA 2'!M98/1000</f>
        <v>0.451278702</v>
      </c>
      <c r="L70" s="160">
        <f>'DATA 2'!N118*'DATA 2'!N98/1000</f>
        <v>0.6904564140599999</v>
      </c>
      <c r="M70" s="160">
        <f>'DATA 2'!O118*'DATA 2'!O98/1000</f>
        <v>1.0563983135118</v>
      </c>
      <c r="N70" s="531">
        <f>'DATA 2'!P118*'DATA 2'!P98/1000</f>
        <v>1.616289419673054</v>
      </c>
      <c r="O70" s="371"/>
      <c r="P70" s="371"/>
      <c r="Q70" s="385"/>
      <c r="R70" s="371"/>
    </row>
    <row r="71" spans="1:18" ht="15" customHeight="1">
      <c r="A71" s="157" t="s">
        <v>33</v>
      </c>
      <c r="B71" s="160">
        <f>'DATA 2'!D119*'DATA 2'!D99/1000</f>
        <v>0.2690797285117256</v>
      </c>
      <c r="C71" s="160">
        <f>'DATA 2'!E119*'DATA 2'!E99/1000</f>
        <v>0.4843435113211062</v>
      </c>
      <c r="D71" s="160">
        <f>'DATA 2'!F119*'DATA 2'!F99/1000</f>
        <v>0.8718183203779911</v>
      </c>
      <c r="E71" s="160">
        <f>'DATA 2'!G119*'DATA 2'!G99/1000</f>
        <v>1.5692729766803841</v>
      </c>
      <c r="F71" s="160">
        <f>'DATA 2'!H119*'DATA 2'!H99/1000</f>
        <v>2.8246913580246913</v>
      </c>
      <c r="G71" s="160">
        <f>'DATA 2'!I119*'DATA 2'!I99/1000</f>
        <v>5.084444444444444</v>
      </c>
      <c r="H71" s="543">
        <f>'DATA 2'!J119*'DATA 2'!J99/1000</f>
        <v>9.152</v>
      </c>
      <c r="I71" s="160">
        <f>'DATA 2'!K119*'DATA 2'!K99/1000</f>
        <v>15.869568</v>
      </c>
      <c r="J71" s="160">
        <f>'DATA 2'!L119*'DATA 2'!L99/1000</f>
        <v>27.517830911999997</v>
      </c>
      <c r="K71" s="160">
        <f>'DATA 2'!M119*'DATA 2'!M99/1000</f>
        <v>47.715918801407994</v>
      </c>
      <c r="L71" s="160">
        <f>'DATA 2'!N119*'DATA 2'!N99/1000</f>
        <v>82.73940320164145</v>
      </c>
      <c r="M71" s="160">
        <f>'DATA 2'!O119*'DATA 2'!O99/1000</f>
        <v>143.4701251516463</v>
      </c>
      <c r="N71" s="531">
        <f>'DATA 2'!P119*'DATA 2'!P99/1000</f>
        <v>248.77719701295467</v>
      </c>
      <c r="O71" s="371"/>
      <c r="P71" s="371"/>
      <c r="Q71" s="385"/>
      <c r="R71" s="371"/>
    </row>
    <row r="72" spans="1:18" ht="15" customHeight="1">
      <c r="A72" s="157" t="s">
        <v>101</v>
      </c>
      <c r="B72" s="160">
        <f>'DATA 2'!D120*'DATA 2'!D100/1000</f>
        <v>26.925291174243004</v>
      </c>
      <c r="C72" s="160">
        <f>'DATA 2'!E120*'DATA 2'!E100/1000</f>
        <v>33.27965989136435</v>
      </c>
      <c r="D72" s="160">
        <f>'DATA 2'!F120*'DATA 2'!F100/1000</f>
        <v>41.133659625726345</v>
      </c>
      <c r="E72" s="160">
        <f>'DATA 2'!G120*'DATA 2'!G100/1000</f>
        <v>50.841203297397755</v>
      </c>
      <c r="F72" s="160">
        <f>'DATA 2'!H120*'DATA 2'!H100/1000</f>
        <v>62.83972727558363</v>
      </c>
      <c r="G72" s="160">
        <f>'DATA 2'!I120*'DATA 2'!I100/1000</f>
        <v>77.66990291262135</v>
      </c>
      <c r="H72" s="543">
        <f>'DATA 2'!J120*'DATA 2'!J100/1000</f>
        <v>96</v>
      </c>
      <c r="I72" s="160">
        <f>'DATA 2'!K120*'DATA 2'!K100/1000</f>
        <v>118.656</v>
      </c>
      <c r="J72" s="160">
        <f>'DATA 2'!L120*'DATA 2'!L100/1000</f>
        <v>146.65881600000003</v>
      </c>
      <c r="K72" s="160">
        <f>'DATA 2'!M120*'DATA 2'!M100/1000</f>
        <v>181.27029657600002</v>
      </c>
      <c r="L72" s="160">
        <f>'DATA 2'!N120*'DATA 2'!N100/1000</f>
        <v>224.05008656793603</v>
      </c>
      <c r="M72" s="160">
        <f>'DATA 2'!O120*'DATA 2'!O100/1000</f>
        <v>276.925906997969</v>
      </c>
      <c r="N72" s="531">
        <f>'DATA 2'!P120*'DATA 2'!P100/1000</f>
        <v>342.28042104948963</v>
      </c>
      <c r="O72" s="371"/>
      <c r="P72" s="371"/>
      <c r="Q72" s="385"/>
      <c r="R72" s="371"/>
    </row>
    <row r="73" spans="1:18" ht="15" customHeight="1">
      <c r="A73" s="157" t="s">
        <v>16</v>
      </c>
      <c r="B73" s="160">
        <f>'DATA 2'!D121*'DATA 2'!D101/1000</f>
        <v>10.680749914905551</v>
      </c>
      <c r="C73" s="160">
        <f>'DATA 2'!E121*'DATA 2'!E101/1000</f>
        <v>11.748824906396107</v>
      </c>
      <c r="D73" s="160">
        <f>'DATA 2'!F121*'DATA 2'!F101/1000</f>
        <v>12.92370739703572</v>
      </c>
      <c r="E73" s="160">
        <f>'DATA 2'!G121*'DATA 2'!G101/1000</f>
        <v>14.216078136739291</v>
      </c>
      <c r="F73" s="160">
        <f>'DATA 2'!H121*'DATA 2'!H101/1000</f>
        <v>15.637685950413221</v>
      </c>
      <c r="G73" s="160">
        <f>'DATA 2'!I121*'DATA 2'!I101/1000</f>
        <v>17.201454545454546</v>
      </c>
      <c r="H73" s="543">
        <f>'DATA 2'!J121*'DATA 2'!J101/1000</f>
        <v>18.9216</v>
      </c>
      <c r="I73" s="160">
        <f>'DATA 2'!K121*'DATA 2'!K101/1000</f>
        <v>23.652</v>
      </c>
      <c r="J73" s="160">
        <f>'DATA 2'!L121*'DATA 2'!L101/1000</f>
        <v>29.565</v>
      </c>
      <c r="K73" s="160">
        <f>'DATA 2'!M121*'DATA 2'!M101/1000</f>
        <v>36.95625</v>
      </c>
      <c r="L73" s="160">
        <f>'DATA 2'!N121*'DATA 2'!N101/1000</f>
        <v>46.1953125</v>
      </c>
      <c r="M73" s="160">
        <f>'DATA 2'!O121*'DATA 2'!O101/1000</f>
        <v>57.744140625</v>
      </c>
      <c r="N73" s="531">
        <f>'DATA 2'!P121*'DATA 2'!P101/1000</f>
        <v>72.18017578125</v>
      </c>
      <c r="O73" s="371"/>
      <c r="P73" s="371"/>
      <c r="Q73" s="385"/>
      <c r="R73" s="371"/>
    </row>
    <row r="74" spans="1:18" ht="15" customHeight="1">
      <c r="A74" s="555" t="s">
        <v>328</v>
      </c>
      <c r="B74" s="556">
        <f>SUM(B57:B73)</f>
        <v>968.5805814938881</v>
      </c>
      <c r="C74" s="556">
        <f>SUM(C57:C73)</f>
        <v>986.0228772492006</v>
      </c>
      <c r="D74" s="556">
        <f>SUM(D57:D73)</f>
        <v>1007.820057880764</v>
      </c>
      <c r="E74" s="556">
        <f>SUM(E57:E73)</f>
        <v>1034.852713967025</v>
      </c>
      <c r="F74" s="556">
        <f>SUM(F57:F73)</f>
        <v>1068.2900531365021</v>
      </c>
      <c r="G74" s="556">
        <f aca="true" t="shared" si="9" ref="G74:H74">SUM(G57:G73)</f>
        <v>1109.7189560075742</v>
      </c>
      <c r="H74" s="557">
        <f t="shared" si="9"/>
        <v>1161.3536</v>
      </c>
      <c r="I74" s="556">
        <f>SUM(I57:I73)</f>
        <v>1246.3554702499998</v>
      </c>
      <c r="J74" s="556">
        <f aca="true" t="shared" si="10" ref="J74:K74">SUM(J57:J73)</f>
        <v>1338.7700701625372</v>
      </c>
      <c r="K74" s="556">
        <f t="shared" si="10"/>
        <v>1454.6966360717952</v>
      </c>
      <c r="L74" s="556">
        <f>SUM(L57:L73)</f>
        <v>1601.3604045146408</v>
      </c>
      <c r="M74" s="556">
        <f>SUM(M57:M73)</f>
        <v>1792.9245455701537</v>
      </c>
      <c r="N74" s="558">
        <f>SUM(N57:N73)</f>
        <v>2052.278143052215</v>
      </c>
      <c r="O74" s="371"/>
      <c r="P74" s="371"/>
      <c r="Q74" s="385"/>
      <c r="R74" s="371"/>
    </row>
    <row r="75" spans="1:18" ht="15" customHeight="1">
      <c r="A75" s="374"/>
      <c r="B75" s="375"/>
      <c r="C75" s="375"/>
      <c r="D75" s="375"/>
      <c r="E75" s="375"/>
      <c r="F75" s="375"/>
      <c r="G75" s="375"/>
      <c r="H75" s="376"/>
      <c r="I75" s="375"/>
      <c r="J75" s="375"/>
      <c r="K75" s="375"/>
      <c r="L75" s="375"/>
      <c r="M75" s="375"/>
      <c r="N75" s="375"/>
      <c r="O75" s="371"/>
      <c r="P75" s="371"/>
      <c r="Q75" s="385"/>
      <c r="R75" s="371"/>
    </row>
    <row r="76" spans="1:18" ht="15" customHeight="1">
      <c r="A76" s="374"/>
      <c r="B76" s="375"/>
      <c r="C76" s="375"/>
      <c r="D76" s="375"/>
      <c r="E76" s="375"/>
      <c r="F76" s="375"/>
      <c r="G76" s="375"/>
      <c r="H76" s="376"/>
      <c r="I76" s="375"/>
      <c r="J76" s="375"/>
      <c r="K76" s="375"/>
      <c r="L76" s="375"/>
      <c r="M76" s="375"/>
      <c r="N76" s="375"/>
      <c r="O76" s="371"/>
      <c r="P76" s="371"/>
      <c r="Q76" s="385"/>
      <c r="R76" s="371"/>
    </row>
    <row r="77" spans="1:18" ht="30" customHeight="1">
      <c r="A77" s="530" t="s">
        <v>156</v>
      </c>
      <c r="B77" s="331">
        <v>2013</v>
      </c>
      <c r="C77" s="331">
        <v>2014</v>
      </c>
      <c r="D77" s="331">
        <v>2015</v>
      </c>
      <c r="E77" s="331">
        <v>2016</v>
      </c>
      <c r="F77" s="331">
        <v>2017</v>
      </c>
      <c r="G77" s="331">
        <v>2018</v>
      </c>
      <c r="H77" s="562">
        <v>2019</v>
      </c>
      <c r="I77" s="331">
        <v>2020</v>
      </c>
      <c r="J77" s="331">
        <v>2021</v>
      </c>
      <c r="K77" s="331">
        <v>2022</v>
      </c>
      <c r="L77" s="331">
        <v>2023</v>
      </c>
      <c r="M77" s="331">
        <v>2024</v>
      </c>
      <c r="N77" s="332">
        <v>2025</v>
      </c>
      <c r="O77" s="371"/>
      <c r="P77" s="371"/>
      <c r="Q77" s="385"/>
      <c r="R77" s="371"/>
    </row>
    <row r="78" spans="1:18" ht="15" customHeight="1">
      <c r="A78" s="348" t="s">
        <v>158</v>
      </c>
      <c r="B78" s="160">
        <f>'DATA 2'!D129</f>
        <v>342.72</v>
      </c>
      <c r="C78" s="160">
        <f>'DATA 2'!E129</f>
        <v>388.8</v>
      </c>
      <c r="D78" s="160">
        <f>'DATA 2'!F129</f>
        <v>506.48275862068965</v>
      </c>
      <c r="E78" s="160">
        <f>'DATA 2'!G129</f>
        <v>587.52</v>
      </c>
      <c r="F78" s="160">
        <f>'DATA 2'!H129</f>
        <v>702</v>
      </c>
      <c r="G78" s="160">
        <f>'DATA 2'!I129</f>
        <v>807.3</v>
      </c>
      <c r="H78" s="543">
        <f>'DATA 2'!J129</f>
        <v>928.3949999999999</v>
      </c>
      <c r="I78" s="160">
        <f>'DATA 2'!K129</f>
        <v>1095.5060999999998</v>
      </c>
      <c r="J78" s="160">
        <f>'DATA 2'!L129</f>
        <v>1292.6971979999998</v>
      </c>
      <c r="K78" s="160">
        <f>'DATA 2'!M129</f>
        <v>1525.3826936399998</v>
      </c>
      <c r="L78" s="160">
        <f>'DATA 2'!N129</f>
        <v>1799.9515784951998</v>
      </c>
      <c r="M78" s="160">
        <f>'DATA 2'!O129</f>
        <v>2123.9428626243357</v>
      </c>
      <c r="N78" s="531">
        <f>'DATA 2'!P129</f>
        <v>2506.252577896716</v>
      </c>
      <c r="O78" s="371"/>
      <c r="P78" s="371"/>
      <c r="Q78" s="385"/>
      <c r="R78" s="371"/>
    </row>
    <row r="79" spans="1:18" ht="15" customHeight="1">
      <c r="A79" s="348" t="s">
        <v>161</v>
      </c>
      <c r="B79" s="160">
        <f>'DATA 2'!D130</f>
        <v>250.92</v>
      </c>
      <c r="C79" s="160">
        <f>'DATA 2'!E130</f>
        <v>302.4</v>
      </c>
      <c r="D79" s="160">
        <f>'DATA 2'!F130</f>
        <v>403.2</v>
      </c>
      <c r="E79" s="160">
        <f>'DATA 2'!G130</f>
        <v>483.84</v>
      </c>
      <c r="F79" s="160">
        <f>'DATA 2'!H130</f>
        <v>629</v>
      </c>
      <c r="G79" s="160">
        <f>'DATA 2'!I130</f>
        <v>823.99</v>
      </c>
      <c r="H79" s="543">
        <f>'DATA 2'!J130</f>
        <v>1079.4269000000002</v>
      </c>
      <c r="I79" s="160">
        <f>'DATA 2'!K130</f>
        <v>1457.2263150000003</v>
      </c>
      <c r="J79" s="160">
        <f>'DATA 2'!L130</f>
        <v>1967.2555252500006</v>
      </c>
      <c r="K79" s="160">
        <f>'DATA 2'!M130</f>
        <v>2655.794959087501</v>
      </c>
      <c r="L79" s="160">
        <f>'DATA 2'!N130</f>
        <v>3585.3231947681265</v>
      </c>
      <c r="M79" s="160">
        <f>'DATA 2'!O130</f>
        <v>4840.186312936971</v>
      </c>
      <c r="N79" s="531">
        <f>'DATA 2'!P130</f>
        <v>6534.251522464911</v>
      </c>
      <c r="O79" s="371"/>
      <c r="P79" s="371"/>
      <c r="Q79" s="385"/>
      <c r="R79" s="371"/>
    </row>
    <row r="80" spans="1:18" ht="15" customHeight="1">
      <c r="A80" s="348" t="s">
        <v>163</v>
      </c>
      <c r="B80" s="160">
        <f>'DATA 2'!D131</f>
        <v>593.64</v>
      </c>
      <c r="C80" s="160">
        <f>'DATA 2'!E131</f>
        <v>691.2</v>
      </c>
      <c r="D80" s="160">
        <f>'DATA 2'!F131</f>
        <v>909.6827586206896</v>
      </c>
      <c r="E80" s="160">
        <f>'DATA 2'!G131</f>
        <v>1071.36</v>
      </c>
      <c r="F80" s="160">
        <f>'DATA 2'!H131</f>
        <v>1331</v>
      </c>
      <c r="G80" s="160">
        <f>'DATA 2'!I131</f>
        <v>1631.29</v>
      </c>
      <c r="H80" s="543">
        <f>'DATA 2'!J131</f>
        <v>2007.8219</v>
      </c>
      <c r="I80" s="160">
        <f>'DATA 2'!K131</f>
        <v>2552.7324150000004</v>
      </c>
      <c r="J80" s="160">
        <f>'DATA 2'!L131</f>
        <v>3259.9527232500004</v>
      </c>
      <c r="K80" s="160">
        <f>'DATA 2'!M131</f>
        <v>4181.177652727501</v>
      </c>
      <c r="L80" s="160">
        <f>'DATA 2'!N131</f>
        <v>5385.274773263326</v>
      </c>
      <c r="M80" s="160">
        <f>'DATA 2'!O131</f>
        <v>6964.129175561307</v>
      </c>
      <c r="N80" s="531">
        <f>'DATA 2'!P131</f>
        <v>9040.504100361628</v>
      </c>
      <c r="O80" s="371"/>
      <c r="P80" s="371"/>
      <c r="Q80" s="385"/>
      <c r="R80" s="371"/>
    </row>
    <row r="81" spans="1:14" ht="15" customHeight="1">
      <c r="A81" s="348" t="s">
        <v>165</v>
      </c>
      <c r="B81" s="160">
        <f>'DATA 2'!D132</f>
        <v>16</v>
      </c>
      <c r="C81" s="160">
        <f>'DATA 2'!E132</f>
        <v>28.799999999999955</v>
      </c>
      <c r="D81" s="160">
        <f>'DATA 2'!F132</f>
        <v>58.9041095890411</v>
      </c>
      <c r="E81" s="160">
        <f>'DATA 2'!G132</f>
        <v>86</v>
      </c>
      <c r="F81" s="160">
        <f>'DATA 2'!H132</f>
        <v>133</v>
      </c>
      <c r="G81" s="160">
        <f>'DATA 2'!I132</f>
        <v>228</v>
      </c>
      <c r="H81" s="543">
        <f>'DATA 2'!J132</f>
        <v>348</v>
      </c>
      <c r="I81" s="160">
        <f>'DATA 2'!K132</f>
        <v>522</v>
      </c>
      <c r="J81" s="160">
        <f>'DATA 2'!L132</f>
        <v>783</v>
      </c>
      <c r="K81" s="160">
        <f>'DATA 2'!M132</f>
        <v>1174.5</v>
      </c>
      <c r="L81" s="160">
        <f>'DATA 2'!N132</f>
        <v>1761.75</v>
      </c>
      <c r="M81" s="160">
        <f>'DATA 2'!O132</f>
        <v>2642.625</v>
      </c>
      <c r="N81" s="531">
        <f>'DATA 2'!P132</f>
        <v>3963.9375</v>
      </c>
    </row>
    <row r="82" spans="1:14" s="143" customFormat="1" ht="15" customHeight="1">
      <c r="A82" s="348" t="s">
        <v>166</v>
      </c>
      <c r="B82" s="160">
        <f>'DATA 2'!D133</f>
        <v>609.64</v>
      </c>
      <c r="C82" s="160">
        <f>'DATA 2'!E133</f>
        <v>720</v>
      </c>
      <c r="D82" s="160">
        <f>'DATA 2'!F133</f>
        <v>968.5868682097307</v>
      </c>
      <c r="E82" s="160">
        <f>'DATA 2'!G133</f>
        <v>1157.36</v>
      </c>
      <c r="F82" s="160">
        <f>'DATA 2'!H133</f>
        <v>1464</v>
      </c>
      <c r="G82" s="160">
        <f>'DATA 2'!I133</f>
        <v>1859.29</v>
      </c>
      <c r="H82" s="543">
        <f>'DATA 2'!J133</f>
        <v>2355.8219</v>
      </c>
      <c r="I82" s="160">
        <f>'DATA 2'!K133</f>
        <v>3074.7324150000004</v>
      </c>
      <c r="J82" s="160">
        <f>'DATA 2'!L133</f>
        <v>4042.9527232500004</v>
      </c>
      <c r="K82" s="160">
        <f>'DATA 2'!M133</f>
        <v>5355.677652727501</v>
      </c>
      <c r="L82" s="160">
        <f>'DATA 2'!N133</f>
        <v>7147.024773263326</v>
      </c>
      <c r="M82" s="160">
        <f>'DATA 2'!O133</f>
        <v>9606.754175561307</v>
      </c>
      <c r="N82" s="531">
        <f>'DATA 2'!P133</f>
        <v>13004.441600361628</v>
      </c>
    </row>
    <row r="83" spans="1:14" s="143" customFormat="1" ht="15" customHeight="1">
      <c r="A83" s="348" t="s">
        <v>167</v>
      </c>
      <c r="B83" s="160">
        <f>'DATA 2'!D134</f>
        <v>698.0325120000001</v>
      </c>
      <c r="C83" s="160">
        <f>'DATA 2'!E134</f>
        <v>1008.032</v>
      </c>
      <c r="D83" s="160">
        <f>'DATA 2'!F134</f>
        <v>1598.0000000000002</v>
      </c>
      <c r="E83" s="160">
        <f>'DATA 2'!G134</f>
        <v>2652</v>
      </c>
      <c r="F83" s="160">
        <f>'DATA 2'!H134</f>
        <v>3800.9790000000003</v>
      </c>
      <c r="G83" s="160">
        <f>'DATA 2'!I134</f>
        <v>5189.213484</v>
      </c>
      <c r="H83" s="543">
        <f>'DATA 2'!J134</f>
        <v>6755.416529588999</v>
      </c>
      <c r="I83" s="160">
        <f>'DATA 2'!K134</f>
        <v>9052.258149649258</v>
      </c>
      <c r="J83" s="160">
        <f>'DATA 2'!L134</f>
        <v>12130.025920530006</v>
      </c>
      <c r="K83" s="160">
        <f>'DATA 2'!M134</f>
        <v>16254.23473351021</v>
      </c>
      <c r="L83" s="160">
        <f>'DATA 2'!N134</f>
        <v>21780.674542903682</v>
      </c>
      <c r="M83" s="160">
        <f>'DATA 2'!O134</f>
        <v>29186.103887490935</v>
      </c>
      <c r="N83" s="531">
        <f>'DATA 2'!P134</f>
        <v>39109.37920923786</v>
      </c>
    </row>
    <row r="84" spans="1:14" s="143" customFormat="1" ht="15" customHeight="1">
      <c r="A84" s="348" t="s">
        <v>168</v>
      </c>
      <c r="B84" s="160">
        <f>'DATA 2'!D135</f>
        <v>2001.9674879999998</v>
      </c>
      <c r="C84" s="160">
        <f>'DATA 2'!E135</f>
        <v>2391.968</v>
      </c>
      <c r="D84" s="160">
        <f>'DATA 2'!F135</f>
        <v>3102</v>
      </c>
      <c r="E84" s="160">
        <f>'DATA 2'!G135</f>
        <v>4148</v>
      </c>
      <c r="F84" s="160">
        <f>'DATA 2'!H135</f>
        <v>5299.021</v>
      </c>
      <c r="G84" s="160">
        <f>'DATA 2'!I135</f>
        <v>6410.786516</v>
      </c>
      <c r="H84" s="543">
        <f>'DATA 2'!J135</f>
        <v>7344.583470411001</v>
      </c>
      <c r="I84" s="160">
        <f>'DATA 2'!K135</f>
        <v>8519.71682567676</v>
      </c>
      <c r="J84" s="160">
        <f>'DATA 2'!L135</f>
        <v>9882.87151778504</v>
      </c>
      <c r="K84" s="160">
        <f>'DATA 2'!M135</f>
        <v>11464.130960630646</v>
      </c>
      <c r="L84" s="160">
        <f>'DATA 2'!N135</f>
        <v>13298.391914331549</v>
      </c>
      <c r="M84" s="160">
        <f>'DATA 2'!O135</f>
        <v>15426.134620624596</v>
      </c>
      <c r="N84" s="531">
        <f>'DATA 2'!P135</f>
        <v>17894.31615992453</v>
      </c>
    </row>
    <row r="85" spans="1:14" s="143" customFormat="1" ht="15" customHeight="1">
      <c r="A85" s="533" t="s">
        <v>169</v>
      </c>
      <c r="B85" s="334">
        <f>'DATA 2'!D136</f>
        <v>2700</v>
      </c>
      <c r="C85" s="334">
        <f>'DATA 2'!E136</f>
        <v>3400</v>
      </c>
      <c r="D85" s="334">
        <f>'DATA 2'!F136</f>
        <v>4700</v>
      </c>
      <c r="E85" s="334">
        <f>'DATA 2'!G136</f>
        <v>6800</v>
      </c>
      <c r="F85" s="334">
        <f>'DATA 2'!H136</f>
        <v>9100</v>
      </c>
      <c r="G85" s="334">
        <f>'DATA 2'!I136</f>
        <v>11600</v>
      </c>
      <c r="H85" s="548">
        <f>'DATA 2'!J136</f>
        <v>14100</v>
      </c>
      <c r="I85" s="334">
        <f>'DATA 2'!K136</f>
        <v>17571.97497532602</v>
      </c>
      <c r="J85" s="334">
        <f>'DATA 2'!L136</f>
        <v>22012.89743831505</v>
      </c>
      <c r="K85" s="334">
        <f>'DATA 2'!M136</f>
        <v>27718.365694140855</v>
      </c>
      <c r="L85" s="334">
        <f>'DATA 2'!N136</f>
        <v>35079.06645723523</v>
      </c>
      <c r="M85" s="334">
        <f>'DATA 2'!O136</f>
        <v>44612.23850811553</v>
      </c>
      <c r="N85" s="563">
        <f>'DATA 2'!P136</f>
        <v>57003.695369162386</v>
      </c>
    </row>
    <row r="86" spans="1:14" s="143" customFormat="1" ht="15" customHeight="1">
      <c r="A86" s="236"/>
      <c r="B86" s="238"/>
      <c r="C86" s="238"/>
      <c r="D86" s="238"/>
      <c r="E86" s="238"/>
      <c r="F86" s="238"/>
      <c r="G86" s="238"/>
      <c r="H86" s="387"/>
      <c r="I86" s="238"/>
      <c r="J86" s="238"/>
      <c r="K86" s="238"/>
      <c r="L86" s="238"/>
      <c r="M86" s="238"/>
      <c r="N86" s="238"/>
    </row>
    <row r="87" spans="1:16" s="143" customFormat="1" ht="30" customHeight="1">
      <c r="A87" s="530" t="s">
        <v>331</v>
      </c>
      <c r="B87" s="331">
        <v>2013</v>
      </c>
      <c r="C87" s="331">
        <v>2014</v>
      </c>
      <c r="D87" s="331">
        <v>2015</v>
      </c>
      <c r="E87" s="331">
        <v>2016</v>
      </c>
      <c r="F87" s="331">
        <v>2017</v>
      </c>
      <c r="G87" s="331">
        <v>2018</v>
      </c>
      <c r="H87" s="562">
        <v>2019</v>
      </c>
      <c r="I87" s="331">
        <v>2020</v>
      </c>
      <c r="J87" s="331">
        <v>2021</v>
      </c>
      <c r="K87" s="331">
        <v>2022</v>
      </c>
      <c r="L87" s="331">
        <v>2023</v>
      </c>
      <c r="M87" s="331">
        <v>2024</v>
      </c>
      <c r="N87" s="332">
        <v>2025</v>
      </c>
      <c r="O87" s="564" t="s">
        <v>366</v>
      </c>
      <c r="P87" s="564" t="s">
        <v>354</v>
      </c>
    </row>
    <row r="88" spans="1:16" s="143" customFormat="1" ht="15" customHeight="1">
      <c r="A88" s="348" t="s">
        <v>158</v>
      </c>
      <c r="B88" s="160">
        <f>'DATA 2'!D140*B78</f>
        <v>134.79379753086425</v>
      </c>
      <c r="C88" s="160">
        <f>'DATA 2'!E140*C78</f>
        <v>114.68800000000003</v>
      </c>
      <c r="D88" s="160">
        <f>'DATA 2'!F140*D78</f>
        <v>112.05149425287358</v>
      </c>
      <c r="E88" s="160">
        <f>'DATA 2'!G140*E78</f>
        <v>97.4848</v>
      </c>
      <c r="F88" s="160">
        <f>'DATA 2'!H140*F78</f>
        <v>87.36000000000001</v>
      </c>
      <c r="G88" s="160">
        <f>'DATA 2'!I140*G78</f>
        <v>75.348</v>
      </c>
      <c r="H88" s="543">
        <f>'DATA 2'!J140*H78</f>
        <v>64.98765</v>
      </c>
      <c r="I88" s="160">
        <f>'DATA 2'!K140*I78</f>
        <v>59.81463306</v>
      </c>
      <c r="J88" s="160">
        <f>'DATA 2'!L140*J78</f>
        <v>55.053388268424</v>
      </c>
      <c r="K88" s="160">
        <f>'DATA 2'!M140*K78</f>
        <v>50.671138562257454</v>
      </c>
      <c r="L88" s="160">
        <f>'DATA 2'!N140*L78</f>
        <v>46.63771593270176</v>
      </c>
      <c r="M88" s="160">
        <f>'DATA 2'!O140*M78</f>
        <v>42.925353744458704</v>
      </c>
      <c r="N88" s="531">
        <f>'DATA 2'!P140*N78</f>
        <v>39.50849558639979</v>
      </c>
      <c r="O88" s="324"/>
      <c r="P88" s="324"/>
    </row>
    <row r="89" spans="1:16" s="143" customFormat="1" ht="15" customHeight="1">
      <c r="A89" s="348" t="s">
        <v>161</v>
      </c>
      <c r="B89" s="160">
        <f>'DATA 2'!D141*B79</f>
        <v>98.68831604938273</v>
      </c>
      <c r="C89" s="160">
        <f>'DATA 2'!E141*C79</f>
        <v>89.20177777777779</v>
      </c>
      <c r="D89" s="160">
        <f>'DATA 2'!F141*D79</f>
        <v>89.20177777777779</v>
      </c>
      <c r="E89" s="160">
        <f>'DATA 2'!G141*E79</f>
        <v>80.28160000000001</v>
      </c>
      <c r="F89" s="160">
        <f>'DATA 2'!H141*F79</f>
        <v>78.27555555555556</v>
      </c>
      <c r="G89" s="160">
        <f>'DATA 2'!I141*G79</f>
        <v>76.90573333333334</v>
      </c>
      <c r="H89" s="543">
        <f>'DATA 2'!J141*H79</f>
        <v>75.55988300000001</v>
      </c>
      <c r="I89" s="160">
        <f>'DATA 2'!K141*I79</f>
        <v>79.56455679900003</v>
      </c>
      <c r="J89" s="160">
        <f>'DATA 2'!L141*J79</f>
        <v>83.78147830934704</v>
      </c>
      <c r="K89" s="160">
        <f>'DATA 2'!M141*K79</f>
        <v>88.22189665974244</v>
      </c>
      <c r="L89" s="160">
        <f>'DATA 2'!N141*L79</f>
        <v>92.8976571827088</v>
      </c>
      <c r="M89" s="160">
        <f>'DATA 2'!O141*M79</f>
        <v>97.82123301339237</v>
      </c>
      <c r="N89" s="531">
        <f>'DATA 2'!P141*N79</f>
        <v>103.00575836310217</v>
      </c>
      <c r="O89" s="324"/>
      <c r="P89" s="324"/>
    </row>
    <row r="90" spans="1:16" s="143" customFormat="1" ht="15" customHeight="1">
      <c r="A90" s="348" t="s">
        <v>165</v>
      </c>
      <c r="B90" s="160">
        <f>'DATA 2'!D142*B81</f>
        <v>36.62109374999998</v>
      </c>
      <c r="C90" s="160">
        <f>'DATA 2'!E142*C81</f>
        <v>52.73437499999989</v>
      </c>
      <c r="D90" s="160">
        <f>'DATA 2'!F142*D81</f>
        <v>86.28531678082189</v>
      </c>
      <c r="E90" s="160">
        <f>'DATA 2'!G142*E81</f>
        <v>100.78124999999996</v>
      </c>
      <c r="F90" s="160">
        <f>'DATA 2'!H142*F81</f>
        <v>124.68749999999997</v>
      </c>
      <c r="G90" s="160">
        <f>'DATA 2'!I142*G81</f>
        <v>170.99999999999997</v>
      </c>
      <c r="H90" s="543">
        <f>'DATA 2'!J142*H81</f>
        <v>208.79999999999998</v>
      </c>
      <c r="I90" s="160">
        <f>'DATA 2'!K142*I81</f>
        <v>250.56</v>
      </c>
      <c r="J90" s="160">
        <f>'DATA 2'!L142*J81</f>
        <v>300.672</v>
      </c>
      <c r="K90" s="160">
        <f>'DATA 2'!M142*K81</f>
        <v>360.80640000000005</v>
      </c>
      <c r="L90" s="160">
        <f>'DATA 2'!N142*L81</f>
        <v>432.9676800000001</v>
      </c>
      <c r="M90" s="160">
        <f>'DATA 2'!O142*M81</f>
        <v>519.5612160000001</v>
      </c>
      <c r="N90" s="531">
        <f>'DATA 2'!P142*N81</f>
        <v>623.4734592000002</v>
      </c>
      <c r="O90" s="324"/>
      <c r="P90" s="324"/>
    </row>
    <row r="91" spans="1:17" s="143" customFormat="1" ht="15" customHeight="1">
      <c r="A91" s="348" t="s">
        <v>166</v>
      </c>
      <c r="B91" s="160">
        <f aca="true" t="shared" si="11" ref="B91:N91">SUM(B88:B90)</f>
        <v>270.10320733024696</v>
      </c>
      <c r="C91" s="160">
        <f t="shared" si="11"/>
        <v>256.62415277777774</v>
      </c>
      <c r="D91" s="160">
        <f t="shared" si="11"/>
        <v>287.53858881147323</v>
      </c>
      <c r="E91" s="160">
        <f t="shared" si="11"/>
        <v>278.54765</v>
      </c>
      <c r="F91" s="160">
        <f t="shared" si="11"/>
        <v>290.3230555555556</v>
      </c>
      <c r="G91" s="160">
        <f t="shared" si="11"/>
        <v>323.25373333333334</v>
      </c>
      <c r="H91" s="543">
        <f t="shared" si="11"/>
        <v>349.347533</v>
      </c>
      <c r="I91" s="160">
        <f t="shared" si="11"/>
        <v>389.93918985900007</v>
      </c>
      <c r="J91" s="160">
        <f t="shared" si="11"/>
        <v>439.50686657777106</v>
      </c>
      <c r="K91" s="160">
        <f t="shared" si="11"/>
        <v>499.6994352219999</v>
      </c>
      <c r="L91" s="160">
        <f t="shared" si="11"/>
        <v>572.5030531154107</v>
      </c>
      <c r="M91" s="160">
        <f t="shared" si="11"/>
        <v>660.3078027578512</v>
      </c>
      <c r="N91" s="531">
        <f t="shared" si="11"/>
        <v>765.9877131495022</v>
      </c>
      <c r="O91" s="324">
        <v>0.05</v>
      </c>
      <c r="P91" s="324">
        <v>0.04</v>
      </c>
      <c r="Q91" s="143">
        <f>POWER(1.09,5)</f>
        <v>1.5386239549000005</v>
      </c>
    </row>
    <row r="92" spans="1:16" s="143" customFormat="1" ht="15" customHeight="1">
      <c r="A92" s="348" t="s">
        <v>167</v>
      </c>
      <c r="B92" s="160">
        <f>'DATA 2'!D143*B83</f>
        <v>16.74146559388677</v>
      </c>
      <c r="C92" s="160">
        <f>'DATA 2'!E143*C83</f>
        <v>21.033492705877105</v>
      </c>
      <c r="D92" s="160">
        <f>'DATA 2'!F143*D83</f>
        <v>29.009023095767503</v>
      </c>
      <c r="E92" s="160">
        <f>'DATA 2'!G143*E83</f>
        <v>41.88409164422941</v>
      </c>
      <c r="F92" s="160">
        <f>'DATA 2'!H143*F83</f>
        <v>52.22642568370987</v>
      </c>
      <c r="G92" s="160">
        <f>'DATA 2'!I143*G83</f>
        <v>62.03197727999999</v>
      </c>
      <c r="H92" s="543">
        <f>'DATA 2'!J143*H83</f>
        <v>70.25633190772558</v>
      </c>
      <c r="I92" s="160">
        <f>'DATA 2'!K143*I83</f>
        <v>83.78770143315354</v>
      </c>
      <c r="J92" s="160">
        <f>'DATA 2'!L143*J83</f>
        <v>99.92521272917891</v>
      </c>
      <c r="K92" s="160">
        <f>'DATA 2'!M143*K83</f>
        <v>119.17080870081878</v>
      </c>
      <c r="L92" s="160">
        <f>'DATA 2'!N143*L83</f>
        <v>142.12310645659647</v>
      </c>
      <c r="M92" s="160">
        <f>'DATA 2'!O143*M83</f>
        <v>169.49601676013697</v>
      </c>
      <c r="N92" s="531">
        <f>'DATA 2'!P143*N83</f>
        <v>202.14094958813936</v>
      </c>
      <c r="O92" s="324">
        <v>0.16</v>
      </c>
      <c r="P92" s="324">
        <v>0.24</v>
      </c>
    </row>
    <row r="93" spans="1:16" ht="15" customHeight="1">
      <c r="A93" s="533" t="s">
        <v>171</v>
      </c>
      <c r="B93" s="334">
        <f>'DATA 2'!D144*B84</f>
        <v>205.62663399216675</v>
      </c>
      <c r="C93" s="334">
        <f>'DATA 2'!E144*C84</f>
        <v>216.2023367694861</v>
      </c>
      <c r="D93" s="334">
        <f>'DATA 2'!F144*D84</f>
        <v>246.73427521600303</v>
      </c>
      <c r="E93" s="334">
        <f>'DATA 2'!G144*E84</f>
        <v>290.3414960555973</v>
      </c>
      <c r="F93" s="334">
        <f>'DATA 2'!H144*F84</f>
        <v>326.39889165805783</v>
      </c>
      <c r="G93" s="334">
        <f>'DATA 2'!I144*G84</f>
        <v>347.4937691059091</v>
      </c>
      <c r="H93" s="548">
        <f>'DATA 2'!J144*H84</f>
        <v>350.33663153860476</v>
      </c>
      <c r="I93" s="334">
        <f>'DATA 2'!K144*I84</f>
        <v>365.75144332630333</v>
      </c>
      <c r="J93" s="334">
        <f>'DATA 2'!L144*J84</f>
        <v>381.84450683266067</v>
      </c>
      <c r="K93" s="334">
        <f>'DATA 2'!M144*K84</f>
        <v>398.6456651332977</v>
      </c>
      <c r="L93" s="334">
        <f>'DATA 2'!N144*L84</f>
        <v>416.1860743991628</v>
      </c>
      <c r="M93" s="334">
        <f>'DATA 2'!O144*M84</f>
        <v>434.49826167272596</v>
      </c>
      <c r="N93" s="563">
        <f>'DATA 2'!P144*N84</f>
        <v>453.6161851863258</v>
      </c>
      <c r="O93" s="251">
        <v>0.02</v>
      </c>
      <c r="P93" s="251">
        <v>0.07</v>
      </c>
    </row>
    <row r="94" spans="1:16" ht="15" customHeight="1">
      <c r="A94" s="157" t="s">
        <v>169</v>
      </c>
      <c r="B94" s="160">
        <f aca="true" t="shared" si="12" ref="B94:N94">SUM(B92:B93)</f>
        <v>222.36809958605352</v>
      </c>
      <c r="C94" s="160">
        <f t="shared" si="12"/>
        <v>237.2358294753632</v>
      </c>
      <c r="D94" s="160">
        <f t="shared" si="12"/>
        <v>275.74329831177056</v>
      </c>
      <c r="E94" s="160">
        <f t="shared" si="12"/>
        <v>332.2255876998267</v>
      </c>
      <c r="F94" s="160">
        <f t="shared" si="12"/>
        <v>378.6253173417677</v>
      </c>
      <c r="G94" s="160">
        <f t="shared" si="12"/>
        <v>409.5257463859091</v>
      </c>
      <c r="H94" s="543">
        <f t="shared" si="12"/>
        <v>420.5929634463304</v>
      </c>
      <c r="I94" s="160">
        <f t="shared" si="12"/>
        <v>449.53914475945686</v>
      </c>
      <c r="J94" s="160">
        <f t="shared" si="12"/>
        <v>481.76971956183957</v>
      </c>
      <c r="K94" s="160">
        <f t="shared" si="12"/>
        <v>517.8164738341166</v>
      </c>
      <c r="L94" s="160">
        <f t="shared" si="12"/>
        <v>558.3091808557592</v>
      </c>
      <c r="M94" s="160">
        <f t="shared" si="12"/>
        <v>603.994278432863</v>
      </c>
      <c r="N94" s="160">
        <f t="shared" si="12"/>
        <v>655.7571347744652</v>
      </c>
      <c r="O94" s="251">
        <v>0.05</v>
      </c>
      <c r="P94" s="565">
        <v>0.09</v>
      </c>
    </row>
    <row r="95" spans="8:24" s="143" customFormat="1" ht="15" customHeight="1">
      <c r="H95" s="388"/>
      <c r="P95" s="377"/>
      <c r="Q95" s="377"/>
      <c r="R95" s="377"/>
      <c r="S95" s="389"/>
      <c r="U95" s="389"/>
      <c r="X95" s="251"/>
    </row>
    <row r="96" spans="1:18" s="143" customFormat="1" ht="15" customHeight="1">
      <c r="A96" s="329"/>
      <c r="H96" s="388"/>
      <c r="O96" s="389"/>
      <c r="P96" s="389"/>
      <c r="Q96" s="389"/>
      <c r="R96" s="389"/>
    </row>
    <row r="97" spans="1:18" s="143" customFormat="1" ht="15" customHeight="1">
      <c r="A97" s="329"/>
      <c r="H97" s="388"/>
      <c r="O97" s="389"/>
      <c r="P97" s="389"/>
      <c r="Q97" s="389"/>
      <c r="R97" s="389"/>
    </row>
    <row r="98" spans="1:18" s="143" customFormat="1" ht="30" customHeight="1">
      <c r="A98" s="566" t="s">
        <v>2</v>
      </c>
      <c r="B98" s="567"/>
      <c r="C98" s="567"/>
      <c r="D98" s="567"/>
      <c r="E98" s="567"/>
      <c r="F98" s="567"/>
      <c r="G98" s="567"/>
      <c r="H98" s="567"/>
      <c r="I98" s="567"/>
      <c r="J98" s="567"/>
      <c r="K98" s="567"/>
      <c r="L98" s="567"/>
      <c r="M98" s="567"/>
      <c r="N98" s="568"/>
      <c r="O98" s="389"/>
      <c r="P98" s="389"/>
      <c r="Q98" s="389"/>
      <c r="R98" s="389"/>
    </row>
    <row r="99" spans="1:18" s="143" customFormat="1" ht="30" customHeight="1">
      <c r="A99" s="569" t="s">
        <v>332</v>
      </c>
      <c r="B99" s="331">
        <v>2013</v>
      </c>
      <c r="C99" s="331">
        <v>2014</v>
      </c>
      <c r="D99" s="331">
        <v>2015</v>
      </c>
      <c r="E99" s="331">
        <v>2016</v>
      </c>
      <c r="F99" s="331">
        <v>2017</v>
      </c>
      <c r="G99" s="331">
        <v>2018</v>
      </c>
      <c r="H99" s="562">
        <v>2019</v>
      </c>
      <c r="I99" s="331">
        <v>2020</v>
      </c>
      <c r="J99" s="331">
        <v>2021</v>
      </c>
      <c r="K99" s="331">
        <v>2022</v>
      </c>
      <c r="L99" s="331">
        <v>2023</v>
      </c>
      <c r="M99" s="331">
        <v>2024</v>
      </c>
      <c r="N99" s="332">
        <v>2025</v>
      </c>
      <c r="O99" s="389"/>
      <c r="P99" s="389" t="s">
        <v>413</v>
      </c>
      <c r="Q99" s="389" t="s">
        <v>414</v>
      </c>
      <c r="R99" s="389"/>
    </row>
    <row r="100" spans="1:18" s="143" customFormat="1" ht="15" customHeight="1">
      <c r="A100" s="570" t="s">
        <v>333</v>
      </c>
      <c r="B100" s="160">
        <f aca="true" t="shared" si="13" ref="B100:N100">B74</f>
        <v>968.5805814938881</v>
      </c>
      <c r="C100" s="160">
        <f t="shared" si="13"/>
        <v>986.0228772492006</v>
      </c>
      <c r="D100" s="160">
        <f t="shared" si="13"/>
        <v>1007.820057880764</v>
      </c>
      <c r="E100" s="160">
        <f t="shared" si="13"/>
        <v>1034.852713967025</v>
      </c>
      <c r="F100" s="160">
        <f t="shared" si="13"/>
        <v>1068.2900531365021</v>
      </c>
      <c r="G100" s="160">
        <f t="shared" si="13"/>
        <v>1109.7189560075742</v>
      </c>
      <c r="H100" s="543">
        <f t="shared" si="13"/>
        <v>1161.3536</v>
      </c>
      <c r="I100" s="160">
        <f t="shared" si="13"/>
        <v>1246.3554702499998</v>
      </c>
      <c r="J100" s="160">
        <f t="shared" si="13"/>
        <v>1338.7700701625372</v>
      </c>
      <c r="K100" s="160">
        <f t="shared" si="13"/>
        <v>1454.6966360717952</v>
      </c>
      <c r="L100" s="160">
        <f t="shared" si="13"/>
        <v>1601.3604045146408</v>
      </c>
      <c r="M100" s="160">
        <f t="shared" si="13"/>
        <v>1792.9245455701537</v>
      </c>
      <c r="N100" s="531">
        <f t="shared" si="13"/>
        <v>2052.278143052215</v>
      </c>
      <c r="O100" s="389">
        <f aca="true" t="shared" si="14" ref="O100:O102">H100/H$103</f>
        <v>0.6013344120592217</v>
      </c>
      <c r="P100" s="389">
        <f aca="true" t="shared" si="15" ref="P100:P115">H100/B100</f>
        <v>1.19902630941536</v>
      </c>
      <c r="Q100" s="389">
        <f aca="true" t="shared" si="16" ref="Q100:Q103">N100/H100</f>
        <v>1.7671432224020447</v>
      </c>
      <c r="R100" s="389"/>
    </row>
    <row r="101" spans="1:18" s="143" customFormat="1" ht="15" customHeight="1">
      <c r="A101" s="570" t="s">
        <v>172</v>
      </c>
      <c r="B101" s="160">
        <f>B91</f>
        <v>270.10320733024696</v>
      </c>
      <c r="C101" s="160">
        <f aca="true" t="shared" si="17" ref="C101:N101">C91</f>
        <v>256.62415277777774</v>
      </c>
      <c r="D101" s="160">
        <f t="shared" si="17"/>
        <v>287.53858881147323</v>
      </c>
      <c r="E101" s="160">
        <f t="shared" si="17"/>
        <v>278.54765</v>
      </c>
      <c r="F101" s="160">
        <f t="shared" si="17"/>
        <v>290.3230555555556</v>
      </c>
      <c r="G101" s="160">
        <f t="shared" si="17"/>
        <v>323.25373333333334</v>
      </c>
      <c r="H101" s="543">
        <f t="shared" si="17"/>
        <v>349.347533</v>
      </c>
      <c r="I101" s="160">
        <f t="shared" si="17"/>
        <v>389.93918985900007</v>
      </c>
      <c r="J101" s="160">
        <f t="shared" si="17"/>
        <v>439.50686657777106</v>
      </c>
      <c r="K101" s="160">
        <f t="shared" si="17"/>
        <v>499.6994352219999</v>
      </c>
      <c r="L101" s="160">
        <f t="shared" si="17"/>
        <v>572.5030531154107</v>
      </c>
      <c r="M101" s="160">
        <f t="shared" si="17"/>
        <v>660.3078027578512</v>
      </c>
      <c r="N101" s="531">
        <f t="shared" si="17"/>
        <v>765.9877131495022</v>
      </c>
      <c r="O101" s="389">
        <f t="shared" si="14"/>
        <v>0.1808877962412951</v>
      </c>
      <c r="P101" s="389">
        <f t="shared" si="15"/>
        <v>1.2933853561126485</v>
      </c>
      <c r="Q101" s="389">
        <f t="shared" si="16"/>
        <v>2.1926237937667135</v>
      </c>
      <c r="R101" s="389"/>
    </row>
    <row r="102" spans="1:18" s="143" customFormat="1" ht="15" customHeight="1">
      <c r="A102" s="570" t="s">
        <v>327</v>
      </c>
      <c r="B102" s="160">
        <f>B94</f>
        <v>222.36809958605352</v>
      </c>
      <c r="C102" s="160">
        <f aca="true" t="shared" si="18" ref="C102:N102">C94</f>
        <v>237.2358294753632</v>
      </c>
      <c r="D102" s="160">
        <f t="shared" si="18"/>
        <v>275.74329831177056</v>
      </c>
      <c r="E102" s="160">
        <f t="shared" si="18"/>
        <v>332.2255876998267</v>
      </c>
      <c r="F102" s="160">
        <f t="shared" si="18"/>
        <v>378.6253173417677</v>
      </c>
      <c r="G102" s="160">
        <f t="shared" si="18"/>
        <v>409.5257463859091</v>
      </c>
      <c r="H102" s="543">
        <f t="shared" si="18"/>
        <v>420.5929634463304</v>
      </c>
      <c r="I102" s="160">
        <f t="shared" si="18"/>
        <v>449.53914475945686</v>
      </c>
      <c r="J102" s="160">
        <f t="shared" si="18"/>
        <v>481.76971956183957</v>
      </c>
      <c r="K102" s="160">
        <f t="shared" si="18"/>
        <v>517.8164738341166</v>
      </c>
      <c r="L102" s="160">
        <f t="shared" si="18"/>
        <v>558.3091808557592</v>
      </c>
      <c r="M102" s="160">
        <f t="shared" si="18"/>
        <v>603.994278432863</v>
      </c>
      <c r="N102" s="531">
        <f t="shared" si="18"/>
        <v>655.7571347744652</v>
      </c>
      <c r="O102" s="389">
        <f t="shared" si="14"/>
        <v>0.21777779169948308</v>
      </c>
      <c r="P102" s="389">
        <f t="shared" si="15"/>
        <v>1.8914267119666885</v>
      </c>
      <c r="Q102" s="389">
        <f t="shared" si="16"/>
        <v>1.5591253106119614</v>
      </c>
      <c r="R102" s="389"/>
    </row>
    <row r="103" spans="1:18" ht="15" customHeight="1">
      <c r="A103" s="569" t="s">
        <v>334</v>
      </c>
      <c r="B103" s="160">
        <f aca="true" t="shared" si="19" ref="B103:N103">SUM(B100:B102)</f>
        <v>1461.0518884101884</v>
      </c>
      <c r="C103" s="160">
        <f t="shared" si="19"/>
        <v>1479.8828595023417</v>
      </c>
      <c r="D103" s="160">
        <f t="shared" si="19"/>
        <v>1571.1019450040078</v>
      </c>
      <c r="E103" s="160">
        <f t="shared" si="19"/>
        <v>1645.6259516668517</v>
      </c>
      <c r="F103" s="160">
        <f t="shared" si="19"/>
        <v>1737.2384260338254</v>
      </c>
      <c r="G103" s="160">
        <f t="shared" si="19"/>
        <v>1842.4984357268165</v>
      </c>
      <c r="H103" s="543">
        <f t="shared" si="19"/>
        <v>1931.2940964463305</v>
      </c>
      <c r="I103" s="160">
        <f t="shared" si="19"/>
        <v>2085.833804868457</v>
      </c>
      <c r="J103" s="160">
        <f t="shared" si="19"/>
        <v>2260.0466563021478</v>
      </c>
      <c r="K103" s="160">
        <f t="shared" si="19"/>
        <v>2472.2125451279117</v>
      </c>
      <c r="L103" s="160">
        <f t="shared" si="19"/>
        <v>2732.1726384858107</v>
      </c>
      <c r="M103" s="160">
        <f t="shared" si="19"/>
        <v>3057.2266267608675</v>
      </c>
      <c r="N103" s="531">
        <f t="shared" si="19"/>
        <v>3474.0229909761824</v>
      </c>
      <c r="O103" s="342"/>
      <c r="P103" s="342">
        <f t="shared" si="15"/>
        <v>1.3218518190670325</v>
      </c>
      <c r="Q103" s="342">
        <f t="shared" si="16"/>
        <v>1.7988057838361042</v>
      </c>
      <c r="R103" s="342"/>
    </row>
    <row r="104" spans="1:18" s="143" customFormat="1" ht="15" customHeight="1">
      <c r="A104" s="569" t="s">
        <v>335</v>
      </c>
      <c r="B104" s="398">
        <f>B103/'DATA 2'!D15</f>
        <v>0.013634452940133051</v>
      </c>
      <c r="C104" s="398">
        <f>C103/'DATA 2'!E15</f>
        <v>0.01366044245339128</v>
      </c>
      <c r="D104" s="398">
        <f>D103/'DATA 2'!F15</f>
        <v>0.01434995230392677</v>
      </c>
      <c r="E104" s="398">
        <f>E103/'DATA 2'!G15</f>
        <v>0.014841447675494479</v>
      </c>
      <c r="F104" s="398">
        <f>F103/'DATA 2'!H15</f>
        <v>0.015372606465765562</v>
      </c>
      <c r="G104" s="398">
        <f>G103/'DATA 2'!I15</f>
        <v>0.016094806694786735</v>
      </c>
      <c r="H104" s="571">
        <f>H103/'DATA 2'!J15</f>
        <v>0.016653963357279283</v>
      </c>
      <c r="I104" s="398">
        <f>I103/'DATA 2'!K15</f>
        <v>0.0177557674430955</v>
      </c>
      <c r="J104" s="398">
        <f>J103/'DATA 2'!L15</f>
        <v>0.01899186899578854</v>
      </c>
      <c r="K104" s="398">
        <f>K103/'DATA 2'!M15</f>
        <v>0.02050815832807573</v>
      </c>
      <c r="L104" s="398">
        <f>L103/'DATA 2'!N15</f>
        <v>0.02237378951823263</v>
      </c>
      <c r="M104" s="398">
        <f>M103/'DATA 2'!O15</f>
        <v>0.02471437308339385</v>
      </c>
      <c r="N104" s="572">
        <f>N103/'DATA 2'!P15</f>
        <v>0.0277233180871437</v>
      </c>
      <c r="O104" s="389"/>
      <c r="P104" s="389"/>
      <c r="Q104" s="389"/>
      <c r="R104" s="389"/>
    </row>
    <row r="105" spans="1:18" s="143" customFormat="1" ht="15" customHeight="1">
      <c r="A105" s="569" t="s">
        <v>336</v>
      </c>
      <c r="B105" s="398">
        <f>B103/'DATA 2'!D8</f>
        <v>0.07497187440528472</v>
      </c>
      <c r="C105" s="398">
        <f>C103/'DATA 2'!E8</f>
        <v>0.07444078770132503</v>
      </c>
      <c r="D105" s="398">
        <f>D103/'DATA 2'!F8</f>
        <v>0.0777773240100994</v>
      </c>
      <c r="E105" s="398">
        <f>E103/'DATA 2'!G8</f>
        <v>0.07900647902764664</v>
      </c>
      <c r="F105" s="398">
        <f>F103/'DATA 2'!H8</f>
        <v>0.0812857208512926</v>
      </c>
      <c r="G105" s="398">
        <f>G103/'DATA 2'!I8</f>
        <v>0.08443766601017491</v>
      </c>
      <c r="H105" s="571">
        <f>H103/'DATA 2'!J8</f>
        <v>0.08668655883555128</v>
      </c>
      <c r="I105" s="398">
        <f>I103/'DATA 2'!K8</f>
        <v>0.09169746084361746</v>
      </c>
      <c r="J105" s="398">
        <f>J103/'DATA 2'!L8</f>
        <v>0.09731264363480255</v>
      </c>
      <c r="K105" s="398">
        <f>K103/'DATA 2'!M8</f>
        <v>0.1042586098660744</v>
      </c>
      <c r="L105" s="398">
        <f>L103/'DATA 2'!N8</f>
        <v>0.11285180758783864</v>
      </c>
      <c r="M105" s="398">
        <f>M103/'DATA 2'!O8</f>
        <v>0.12368079645771027</v>
      </c>
      <c r="N105" s="572">
        <f>N103/'DATA 2'!P8</f>
        <v>0.1376517021419025</v>
      </c>
      <c r="O105" s="389"/>
      <c r="P105" s="389"/>
      <c r="Q105" s="389"/>
      <c r="R105" s="389"/>
    </row>
    <row r="106" spans="1:18" s="143" customFormat="1" ht="15" customHeight="1">
      <c r="A106" s="569" t="s">
        <v>337</v>
      </c>
      <c r="B106" s="160">
        <f>3*B103</f>
        <v>4383.155665230565</v>
      </c>
      <c r="C106" s="160">
        <f aca="true" t="shared" si="20" ref="C106:N106">3*C103</f>
        <v>4439.648578507025</v>
      </c>
      <c r="D106" s="160">
        <f t="shared" si="20"/>
        <v>4713.305835012024</v>
      </c>
      <c r="E106" s="160">
        <f t="shared" si="20"/>
        <v>4936.877855000555</v>
      </c>
      <c r="F106" s="160">
        <f t="shared" si="20"/>
        <v>5211.715278101476</v>
      </c>
      <c r="G106" s="160">
        <f t="shared" si="20"/>
        <v>5527.495307180449</v>
      </c>
      <c r="H106" s="543">
        <f t="shared" si="20"/>
        <v>5793.8822893389915</v>
      </c>
      <c r="I106" s="160">
        <f t="shared" si="20"/>
        <v>6257.501414605371</v>
      </c>
      <c r="J106" s="160">
        <f t="shared" si="20"/>
        <v>6780.139968906444</v>
      </c>
      <c r="K106" s="160">
        <f t="shared" si="20"/>
        <v>7416.637635383735</v>
      </c>
      <c r="L106" s="160">
        <f t="shared" si="20"/>
        <v>8196.517915457433</v>
      </c>
      <c r="M106" s="160">
        <f t="shared" si="20"/>
        <v>9171.679880282602</v>
      </c>
      <c r="N106" s="531">
        <f t="shared" si="20"/>
        <v>10422.068972928548</v>
      </c>
      <c r="O106" s="389"/>
      <c r="P106" s="389"/>
      <c r="Q106" s="389"/>
      <c r="R106" s="389"/>
    </row>
    <row r="107" spans="1:18" s="143" customFormat="1" ht="15" customHeight="1">
      <c r="A107" s="569" t="s">
        <v>338</v>
      </c>
      <c r="B107" s="160">
        <f aca="true" t="shared" si="21" ref="B107:N107">B51</f>
        <v>1553.6329005772363</v>
      </c>
      <c r="C107" s="160">
        <f t="shared" si="21"/>
        <v>1627.248964787018</v>
      </c>
      <c r="D107" s="160">
        <f t="shared" si="21"/>
        <v>1717.9783341224565</v>
      </c>
      <c r="E107" s="160">
        <f t="shared" si="21"/>
        <v>1819.7281109550383</v>
      </c>
      <c r="F107" s="160">
        <f t="shared" si="21"/>
        <v>1961.3614665469618</v>
      </c>
      <c r="G107" s="160">
        <f t="shared" si="21"/>
        <v>2103.132272211158</v>
      </c>
      <c r="H107" s="543">
        <f t="shared" si="21"/>
        <v>2250.037322956653</v>
      </c>
      <c r="I107" s="160">
        <f t="shared" si="21"/>
        <v>2350.447030322623</v>
      </c>
      <c r="J107" s="160">
        <f t="shared" si="21"/>
        <v>2504.6897361891515</v>
      </c>
      <c r="K107" s="160">
        <f t="shared" si="21"/>
        <v>2680.1013272358523</v>
      </c>
      <c r="L107" s="160">
        <f t="shared" si="21"/>
        <v>2881.066514479816</v>
      </c>
      <c r="M107" s="160">
        <f t="shared" si="21"/>
        <v>3113.542399908751</v>
      </c>
      <c r="N107" s="531">
        <f t="shared" si="21"/>
        <v>3385.822139898259</v>
      </c>
      <c r="O107" s="389"/>
      <c r="P107" s="389">
        <f t="shared" si="15"/>
        <v>1.4482425817068336</v>
      </c>
      <c r="Q107" s="389"/>
      <c r="R107" s="389"/>
    </row>
    <row r="108" spans="1:18" s="143" customFormat="1" ht="15" customHeight="1">
      <c r="A108" s="569" t="s">
        <v>339</v>
      </c>
      <c r="B108" s="398">
        <f>B107/'DATA 2'!D15</f>
        <v>0.014498413668396463</v>
      </c>
      <c r="C108" s="398">
        <f>C107/'DATA 2'!E15</f>
        <v>0.01502074349877178</v>
      </c>
      <c r="D108" s="398">
        <f>D107/'DATA 2'!F15</f>
        <v>0.01569147516635143</v>
      </c>
      <c r="E108" s="398">
        <f>E107/'DATA 2'!G15</f>
        <v>0.016411627147110718</v>
      </c>
      <c r="F108" s="398">
        <f>F107/'DATA 2'!H15</f>
        <v>0.017355843337623814</v>
      </c>
      <c r="G108" s="398">
        <f>G107/'DATA 2'!I15</f>
        <v>0.018371525705775407</v>
      </c>
      <c r="H108" s="571">
        <f>H107/'DATA 2'!J15</f>
        <v>0.019402554586575468</v>
      </c>
      <c r="I108" s="398">
        <f>I107/'DATA 2'!K15</f>
        <v>0.020008301121744877</v>
      </c>
      <c r="J108" s="398">
        <f>J107/'DATA 2'!L15</f>
        <v>0.021047680237996386</v>
      </c>
      <c r="K108" s="398">
        <f>K107/'DATA 2'!M15</f>
        <v>0.022232692922199752</v>
      </c>
      <c r="L108" s="398">
        <f>L107/'DATA 2'!N15</f>
        <v>0.023593082982751746</v>
      </c>
      <c r="M108" s="398">
        <f>M107/'DATA 2'!O15</f>
        <v>0.02516962524424893</v>
      </c>
      <c r="N108" s="572">
        <f>N107/'DATA 2'!P15</f>
        <v>0.027019459691174086</v>
      </c>
      <c r="O108" s="389"/>
      <c r="P108" s="389"/>
      <c r="Q108" s="389"/>
      <c r="R108" s="389"/>
    </row>
    <row r="109" spans="1:18" ht="15" customHeight="1">
      <c r="A109" s="573" t="s">
        <v>340</v>
      </c>
      <c r="B109" s="409">
        <f aca="true" t="shared" si="22" ref="B109:N109">B103+B107</f>
        <v>3014.684788987425</v>
      </c>
      <c r="C109" s="409">
        <f t="shared" si="22"/>
        <v>3107.1318242893594</v>
      </c>
      <c r="D109" s="409">
        <f t="shared" si="22"/>
        <v>3289.080279126464</v>
      </c>
      <c r="E109" s="409">
        <f t="shared" si="22"/>
        <v>3465.35406262189</v>
      </c>
      <c r="F109" s="409">
        <f t="shared" si="22"/>
        <v>3698.599892580787</v>
      </c>
      <c r="G109" s="409">
        <f t="shared" si="22"/>
        <v>3945.630707937975</v>
      </c>
      <c r="H109" s="574">
        <f t="shared" si="22"/>
        <v>4181.331419402984</v>
      </c>
      <c r="I109" s="409">
        <f t="shared" si="22"/>
        <v>4436.28083519108</v>
      </c>
      <c r="J109" s="409">
        <f t="shared" si="22"/>
        <v>4764.736392491299</v>
      </c>
      <c r="K109" s="409">
        <f t="shared" si="22"/>
        <v>5152.313872363764</v>
      </c>
      <c r="L109" s="409">
        <f t="shared" si="22"/>
        <v>5613.239152965627</v>
      </c>
      <c r="M109" s="409">
        <f t="shared" si="22"/>
        <v>6170.769026669619</v>
      </c>
      <c r="N109" s="575">
        <f t="shared" si="22"/>
        <v>6859.845130874442</v>
      </c>
      <c r="O109" s="337"/>
      <c r="P109" s="337"/>
      <c r="Q109" s="342">
        <f>N109/I109</f>
        <v>1.546305426937421</v>
      </c>
      <c r="R109" s="342"/>
    </row>
    <row r="110" spans="1:18" s="143" customFormat="1" ht="15" customHeight="1">
      <c r="A110" s="573" t="s">
        <v>341</v>
      </c>
      <c r="B110" s="189">
        <f>B109/'DATA 2'!D15</f>
        <v>0.028132866608529514</v>
      </c>
      <c r="C110" s="189">
        <f>C109/'DATA 2'!E15</f>
        <v>0.028681185952163058</v>
      </c>
      <c r="D110" s="189">
        <f>D109/'DATA 2'!F15</f>
        <v>0.030041427470278197</v>
      </c>
      <c r="E110" s="189">
        <f>E109/'DATA 2'!G15</f>
        <v>0.0312530748226052</v>
      </c>
      <c r="F110" s="189">
        <f>F109/'DATA 2'!H15</f>
        <v>0.032728449803389376</v>
      </c>
      <c r="G110" s="189">
        <f>G109/'DATA 2'!I15</f>
        <v>0.03446633240056214</v>
      </c>
      <c r="H110" s="576">
        <f>H109/'DATA 2'!J15</f>
        <v>0.03605651794385475</v>
      </c>
      <c r="I110" s="189">
        <f>I109/'DATA 2'!K15</f>
        <v>0.037764068564840374</v>
      </c>
      <c r="J110" s="189">
        <f>J109/'DATA 2'!L15</f>
        <v>0.04003954923378492</v>
      </c>
      <c r="K110" s="189">
        <f>K109/'DATA 2'!M15</f>
        <v>0.042740851250275484</v>
      </c>
      <c r="L110" s="189">
        <f>L109/'DATA 2'!N15</f>
        <v>0.04596687250098438</v>
      </c>
      <c r="M110" s="189">
        <f>M109/'DATA 2'!O15</f>
        <v>0.04988399832764279</v>
      </c>
      <c r="N110" s="577">
        <f>N109/'DATA 2'!P15</f>
        <v>0.054742777778317785</v>
      </c>
      <c r="O110" s="389"/>
      <c r="P110" s="389"/>
      <c r="Q110" s="389"/>
      <c r="R110" s="389"/>
    </row>
    <row r="111" spans="1:18" s="143" customFormat="1" ht="15" customHeight="1">
      <c r="A111" s="573" t="s">
        <v>342</v>
      </c>
      <c r="B111" s="409">
        <f>B106+B107</f>
        <v>5936.788565807801</v>
      </c>
      <c r="C111" s="409">
        <f aca="true" t="shared" si="23" ref="C111:N111">C106+C107</f>
        <v>6066.897543294043</v>
      </c>
      <c r="D111" s="409">
        <f t="shared" si="23"/>
        <v>6431.28416913448</v>
      </c>
      <c r="E111" s="409">
        <f t="shared" si="23"/>
        <v>6756.605965955594</v>
      </c>
      <c r="F111" s="409">
        <f t="shared" si="23"/>
        <v>7173.076744648437</v>
      </c>
      <c r="G111" s="409">
        <f t="shared" si="23"/>
        <v>7630.6275793916075</v>
      </c>
      <c r="H111" s="574">
        <f t="shared" si="23"/>
        <v>8043.919612295645</v>
      </c>
      <c r="I111" s="409">
        <f t="shared" si="23"/>
        <v>8607.948444927993</v>
      </c>
      <c r="J111" s="409">
        <f t="shared" si="23"/>
        <v>9284.829705095595</v>
      </c>
      <c r="K111" s="409">
        <f t="shared" si="23"/>
        <v>10096.738962619587</v>
      </c>
      <c r="L111" s="409">
        <f t="shared" si="23"/>
        <v>11077.584429937247</v>
      </c>
      <c r="M111" s="409">
        <f t="shared" si="23"/>
        <v>12285.222280191352</v>
      </c>
      <c r="N111" s="575">
        <f t="shared" si="23"/>
        <v>13807.891112826806</v>
      </c>
      <c r="O111" s="389"/>
      <c r="P111" s="389">
        <f t="shared" si="15"/>
        <v>1.3549277565018238</v>
      </c>
      <c r="Q111" s="389"/>
      <c r="R111" s="389"/>
    </row>
    <row r="112" spans="1:18" s="143" customFormat="1" ht="15" customHeight="1">
      <c r="A112" s="573" t="s">
        <v>343</v>
      </c>
      <c r="B112" s="189">
        <f>B111/'DATA 2'!D13</f>
        <v>0.03992341990362325</v>
      </c>
      <c r="C112" s="189">
        <f>C111/'DATA 2'!E13</f>
        <v>0.04046987643681844</v>
      </c>
      <c r="D112" s="189">
        <f>D111/'DATA 2'!F13</f>
        <v>0.04259054630834562</v>
      </c>
      <c r="E112" s="189">
        <f>E111/'DATA 2'!G13</f>
        <v>0.04414144394211708</v>
      </c>
      <c r="F112" s="189">
        <f>F111/'DATA 2'!H13</f>
        <v>0.04604111525943965</v>
      </c>
      <c r="G112" s="189">
        <f>G111/'DATA 2'!I13</f>
        <v>0.0476343775023388</v>
      </c>
      <c r="H112" s="576">
        <f>H111/'DATA 2'!J13</f>
        <v>0.0495547411087466</v>
      </c>
      <c r="I112" s="189">
        <f>I111/'DATA 2'!K13</f>
        <v>0.05234891703501313</v>
      </c>
      <c r="J112" s="189">
        <f>J111/'DATA 2'!L13</f>
        <v>0.056465345143030844</v>
      </c>
      <c r="K112" s="189">
        <f>K111/'DATA 2'!M13</f>
        <v>0.06140294097483745</v>
      </c>
      <c r="L112" s="189">
        <f>L111/'DATA 2'!N13</f>
        <v>0.06736791605819024</v>
      </c>
      <c r="M112" s="189">
        <f>M111/'DATA 2'!O13</f>
        <v>0.07471212054962671</v>
      </c>
      <c r="N112" s="577">
        <f>N111/'DATA 2'!P13</f>
        <v>0.08397217419671851</v>
      </c>
      <c r="O112" s="389"/>
      <c r="P112" s="389"/>
      <c r="Q112" s="389"/>
      <c r="R112" s="389"/>
    </row>
    <row r="113" spans="1:18" s="143" customFormat="1" ht="15" customHeight="1">
      <c r="A113" s="569" t="s">
        <v>344</v>
      </c>
      <c r="B113" s="160">
        <f>'DATA 2'!D19*B103</f>
        <v>905.8521708143169</v>
      </c>
      <c r="C113" s="160">
        <f>'DATA 2'!E19*C103</f>
        <v>902.7285442964285</v>
      </c>
      <c r="D113" s="160">
        <f>'DATA 2'!F19*D103</f>
        <v>958.3721864524448</v>
      </c>
      <c r="E113" s="160">
        <f>'DATA 2'!G19*E103</f>
        <v>1003.8318305167795</v>
      </c>
      <c r="F113" s="160">
        <f>'DATA 2'!H19*F103</f>
        <v>1042.3430556202952</v>
      </c>
      <c r="G113" s="160">
        <f>'DATA 2'!I19*G103</f>
        <v>1105.49906143609</v>
      </c>
      <c r="H113" s="543">
        <f>'DATA 2'!J19*H103</f>
        <v>1158.7764578677982</v>
      </c>
      <c r="I113" s="160">
        <f>'DATA 2'!K19*I103</f>
        <v>1230.6419448723896</v>
      </c>
      <c r="J113" s="160">
        <f>'DATA 2'!L19*J103</f>
        <v>1333.4275272182672</v>
      </c>
      <c r="K113" s="160">
        <f>'DATA 2'!M19*K103</f>
        <v>1433.8832761741887</v>
      </c>
      <c r="L113" s="160">
        <f>'DATA 2'!N19*L103</f>
        <v>1557.338403936912</v>
      </c>
      <c r="M113" s="160">
        <f>'DATA 2'!O19*M103</f>
        <v>1681.4746447184773</v>
      </c>
      <c r="N113" s="531">
        <f>'DATA 2'!P19*N103</f>
        <v>1841.2321852173768</v>
      </c>
      <c r="O113" s="389"/>
      <c r="P113" s="389"/>
      <c r="Q113" s="389"/>
      <c r="R113" s="389"/>
    </row>
    <row r="114" spans="1:18" s="143" customFormat="1" ht="15" customHeight="1">
      <c r="A114" s="569" t="s">
        <v>345</v>
      </c>
      <c r="B114" s="160">
        <f>B25</f>
        <v>475.9553071458097</v>
      </c>
      <c r="C114" s="160">
        <f aca="true" t="shared" si="24" ref="C114:N114">C25</f>
        <v>497.8238809335922</v>
      </c>
      <c r="D114" s="160">
        <f t="shared" si="24"/>
        <v>524.7230288628889</v>
      </c>
      <c r="E114" s="160">
        <f t="shared" si="24"/>
        <v>554.7182315197635</v>
      </c>
      <c r="F114" s="160">
        <f t="shared" si="24"/>
        <v>596.1994743269064</v>
      </c>
      <c r="G114" s="160">
        <f t="shared" si="24"/>
        <v>638.013674571089</v>
      </c>
      <c r="H114" s="543">
        <f t="shared" si="24"/>
        <v>681.3533499042373</v>
      </c>
      <c r="I114" s="160">
        <f t="shared" si="24"/>
        <v>705.8341886308386</v>
      </c>
      <c r="J114" s="160">
        <f t="shared" si="24"/>
        <v>745.3095290098721</v>
      </c>
      <c r="K114" s="160">
        <f t="shared" si="24"/>
        <v>790.1818678435616</v>
      </c>
      <c r="L114" s="160">
        <f t="shared" si="24"/>
        <v>841.5613473691432</v>
      </c>
      <c r="M114" s="160">
        <f t="shared" si="24"/>
        <v>900.9605271061894</v>
      </c>
      <c r="N114" s="531">
        <f t="shared" si="24"/>
        <v>970.4880573772508</v>
      </c>
      <c r="O114" s="389"/>
      <c r="P114" s="389">
        <f t="shared" si="15"/>
        <v>1.4315490124275547</v>
      </c>
      <c r="Q114" s="389"/>
      <c r="R114" s="389"/>
    </row>
    <row r="115" spans="1:18" ht="15" customHeight="1">
      <c r="A115" s="573" t="s">
        <v>346</v>
      </c>
      <c r="B115" s="409">
        <f aca="true" t="shared" si="25" ref="B115:N115">SUM(B113:B114)</f>
        <v>1381.8074779601266</v>
      </c>
      <c r="C115" s="409">
        <f t="shared" si="25"/>
        <v>1400.5524252300206</v>
      </c>
      <c r="D115" s="409">
        <f t="shared" si="25"/>
        <v>1483.0952153153337</v>
      </c>
      <c r="E115" s="409">
        <f t="shared" si="25"/>
        <v>1558.550062036543</v>
      </c>
      <c r="F115" s="409">
        <f t="shared" si="25"/>
        <v>1638.5425299472017</v>
      </c>
      <c r="G115" s="409">
        <f t="shared" si="25"/>
        <v>1743.512736007179</v>
      </c>
      <c r="H115" s="574">
        <f t="shared" si="25"/>
        <v>1840.1298077720355</v>
      </c>
      <c r="I115" s="409">
        <f t="shared" si="25"/>
        <v>1936.476133503228</v>
      </c>
      <c r="J115" s="409">
        <f t="shared" si="25"/>
        <v>2078.7370562281394</v>
      </c>
      <c r="K115" s="409">
        <f t="shared" si="25"/>
        <v>2224.0651440177503</v>
      </c>
      <c r="L115" s="409">
        <f t="shared" si="25"/>
        <v>2398.8997513060554</v>
      </c>
      <c r="M115" s="409">
        <f t="shared" si="25"/>
        <v>2582.4351718246667</v>
      </c>
      <c r="N115" s="575">
        <f t="shared" si="25"/>
        <v>2811.7202425946275</v>
      </c>
      <c r="O115" s="337"/>
      <c r="P115" s="342">
        <f t="shared" si="15"/>
        <v>1.3316832027052716</v>
      </c>
      <c r="Q115" s="342">
        <f>N115/H115</f>
        <v>1.528001030535427</v>
      </c>
      <c r="R115" s="342"/>
    </row>
    <row r="116" spans="1:18" s="143" customFormat="1" ht="15" customHeight="1">
      <c r="A116" s="555" t="s">
        <v>347</v>
      </c>
      <c r="B116" s="578">
        <f>B115/'DATA 2'!D16</f>
        <v>0.028736039517778644</v>
      </c>
      <c r="C116" s="578">
        <f>C115/'DATA 2'!E16</f>
        <v>0.028837484208514046</v>
      </c>
      <c r="D116" s="578">
        <f>D115/'DATA 2'!F16</f>
        <v>0.030234699728654134</v>
      </c>
      <c r="E116" s="578">
        <f>E115/'DATA 2'!G16</f>
        <v>0.031303387732486865</v>
      </c>
      <c r="F116" s="578">
        <f>F115/'DATA 2'!H16</f>
        <v>0.03226473707618042</v>
      </c>
      <c r="G116" s="578">
        <f>G115/'DATA 2'!I16</f>
        <v>0.03365854702716562</v>
      </c>
      <c r="H116" s="579">
        <f>H115/'DATA 2'!J16</f>
        <v>0.03492993260843718</v>
      </c>
      <c r="I116" s="578">
        <f>I115/'DATA 2'!K16</f>
        <v>0.037970120264769175</v>
      </c>
      <c r="J116" s="578">
        <f>J115/'DATA 2'!L16</f>
        <v>0.04075955012212038</v>
      </c>
      <c r="K116" s="578">
        <f>K115/'DATA 2'!M16</f>
        <v>0.044481302880355005</v>
      </c>
      <c r="L116" s="578">
        <f>L115/'DATA 2'!N16</f>
        <v>0.04997707815220949</v>
      </c>
      <c r="M116" s="578">
        <f>M115/'DATA 2'!O16</f>
        <v>0.05613989503966667</v>
      </c>
      <c r="N116" s="580">
        <f>N115/'DATA 2'!P16</f>
        <v>0.06390273278624153</v>
      </c>
      <c r="O116" s="389"/>
      <c r="P116" s="389"/>
      <c r="Q116" s="389"/>
      <c r="R116" s="389"/>
    </row>
    <row r="117" ht="15">
      <c r="A117" s="414"/>
    </row>
    <row r="118" spans="1:14" ht="15">
      <c r="A118" s="142" t="s">
        <v>415</v>
      </c>
      <c r="B118" s="142">
        <f>B114/(B114+B113)</f>
        <v>0.34444400883430726</v>
      </c>
      <c r="C118" s="142">
        <f aca="true" t="shared" si="26" ref="C118:N118">C114/(C114+C113)</f>
        <v>0.3554482302594505</v>
      </c>
      <c r="D118" s="142">
        <f t="shared" si="26"/>
        <v>0.35380265774191916</v>
      </c>
      <c r="E118" s="142">
        <f t="shared" si="26"/>
        <v>0.3559194183309828</v>
      </c>
      <c r="F118" s="142">
        <f t="shared" si="26"/>
        <v>0.3638596273397417</v>
      </c>
      <c r="G118" s="142">
        <f t="shared" si="26"/>
        <v>0.3659357694353326</v>
      </c>
      <c r="H118" s="311">
        <f t="shared" si="26"/>
        <v>0.37027461162057695</v>
      </c>
      <c r="I118" s="142">
        <f t="shared" si="26"/>
        <v>0.3644941326252922</v>
      </c>
      <c r="J118" s="142">
        <f t="shared" si="26"/>
        <v>0.35853958862995083</v>
      </c>
      <c r="K118" s="142">
        <f t="shared" si="26"/>
        <v>0.35528719559720556</v>
      </c>
      <c r="L118" s="142">
        <f t="shared" si="26"/>
        <v>0.35081138630781217</v>
      </c>
      <c r="M118" s="142">
        <f t="shared" si="26"/>
        <v>0.3488802107932875</v>
      </c>
      <c r="N118" s="142">
        <f t="shared" si="26"/>
        <v>0.3451581144793033</v>
      </c>
    </row>
    <row r="120" spans="1:14" ht="15">
      <c r="A120" s="142" t="s">
        <v>416</v>
      </c>
      <c r="B120" s="142">
        <f>B107/B111</f>
        <v>0.26169584504410226</v>
      </c>
      <c r="C120" s="142">
        <f aca="true" t="shared" si="27" ref="C120:N120">C107/C111</f>
        <v>0.2682176438904385</v>
      </c>
      <c r="D120" s="142">
        <f t="shared" si="27"/>
        <v>0.26712835087703196</v>
      </c>
      <c r="E120" s="142">
        <f t="shared" si="27"/>
        <v>0.26932577097496496</v>
      </c>
      <c r="F120" s="142">
        <f t="shared" si="27"/>
        <v>0.2734337769368298</v>
      </c>
      <c r="G120" s="142">
        <f t="shared" si="27"/>
        <v>0.2756172084575567</v>
      </c>
      <c r="H120" s="311">
        <f t="shared" si="27"/>
        <v>0.2797190214975952</v>
      </c>
      <c r="I120" s="142">
        <f t="shared" si="27"/>
        <v>0.2730554260821069</v>
      </c>
      <c r="J120" s="142">
        <f t="shared" si="27"/>
        <v>0.2697615159074545</v>
      </c>
      <c r="K120" s="142">
        <f t="shared" si="27"/>
        <v>0.26544227172339446</v>
      </c>
      <c r="L120" s="142">
        <f t="shared" si="27"/>
        <v>0.26008075431081473</v>
      </c>
      <c r="M120" s="142">
        <f t="shared" si="27"/>
        <v>0.25343801918252756</v>
      </c>
      <c r="N120" s="142">
        <f t="shared" si="27"/>
        <v>0.24520921495050088</v>
      </c>
    </row>
  </sheetData>
  <mergeCells count="4">
    <mergeCell ref="A2:B3"/>
    <mergeCell ref="O38:P38"/>
    <mergeCell ref="Q38:R38"/>
    <mergeCell ref="A98:N98"/>
  </mergeCells>
  <conditionalFormatting sqref="B32:N50">
    <cfRule type="expression" priority="10" dxfId="0">
      <formula>MOD(ROW(),2)</formula>
    </cfRule>
  </conditionalFormatting>
  <conditionalFormatting sqref="B57:N73">
    <cfRule type="expression" priority="9" dxfId="0">
      <formula>MOD(ROW(),2)</formula>
    </cfRule>
  </conditionalFormatting>
  <conditionalFormatting sqref="B78:N85">
    <cfRule type="expression" priority="8" dxfId="0">
      <formula>MOD(ROW(),2)</formula>
    </cfRule>
  </conditionalFormatting>
  <conditionalFormatting sqref="B88:N94 P94">
    <cfRule type="expression" priority="7" dxfId="0">
      <formula>MOD(ROW(),2)</formula>
    </cfRule>
  </conditionalFormatting>
  <conditionalFormatting sqref="B100:N108">
    <cfRule type="expression" priority="3" dxfId="0">
      <formula>MOD(ROW(),2)</formula>
    </cfRule>
  </conditionalFormatting>
  <conditionalFormatting sqref="B113:N114">
    <cfRule type="expression" priority="2" dxfId="0">
      <formula>MOD(ROW(),2)</formula>
    </cfRule>
  </conditionalFormatting>
  <conditionalFormatting sqref="B6:N24">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10">
            <xm:f>MOD(ROW(),2)</xm:f>
            <x14:dxf>
              <fill>
                <patternFill patternType="solid">
                  <fgColor theme="5" tint="0.5999600291252136"/>
                  <bgColor theme="5" tint="0.5999600291252136"/>
                </patternFill>
              </fill>
            </x14:dxf>
          </x14:cfRule>
          <xm:sqref>B32:N50</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B57:N73</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B78:N85</xm:sqref>
        </x14:conditionalFormatting>
        <x14:conditionalFormatting xmlns:xm="http://schemas.microsoft.com/office/excel/2006/main">
          <x14:cfRule type="expression" priority="7">
            <xm:f>MOD(ROW(),2)</xm:f>
            <x14:dxf>
              <fill>
                <patternFill patternType="solid">
                  <fgColor theme="5" tint="0.5999600291252136"/>
                  <bgColor theme="5" tint="0.5999600291252136"/>
                </patternFill>
              </fill>
            </x14:dxf>
          </x14:cfRule>
          <xm:sqref>B88:N94 P94</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B100:N108</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B113:N114</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B6:N24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dimension ref="B2:V40"/>
  <sheetViews>
    <sheetView zoomScale="60" zoomScaleNormal="60" workbookViewId="0" topLeftCell="A1">
      <selection activeCell="D28" sqref="D28"/>
    </sheetView>
  </sheetViews>
  <sheetFormatPr defaultColWidth="11.421875" defaultRowHeight="15"/>
  <cols>
    <col min="1" max="1" width="6.8515625" style="0" customWidth="1"/>
    <col min="2" max="2" width="34.421875" style="0" customWidth="1"/>
    <col min="3" max="3" width="19.00390625" style="0" customWidth="1"/>
    <col min="4" max="4" width="17.140625" style="0" customWidth="1"/>
    <col min="5" max="5" width="17.57421875" style="87" customWidth="1"/>
    <col min="6" max="6" width="18.00390625" style="0" customWidth="1"/>
    <col min="7" max="7" width="23.8515625" style="0" customWidth="1"/>
  </cols>
  <sheetData>
    <row r="1" ht="15"/>
    <row r="2" spans="2:4" ht="15">
      <c r="B2" s="2" t="s">
        <v>0</v>
      </c>
      <c r="C2" s="88" t="s">
        <v>1</v>
      </c>
      <c r="D2" s="89"/>
    </row>
    <row r="3" spans="2:4" ht="15">
      <c r="B3" s="11" t="s">
        <v>5</v>
      </c>
      <c r="C3" s="90" t="s">
        <v>6</v>
      </c>
      <c r="D3" s="41" t="s">
        <v>7</v>
      </c>
    </row>
    <row r="4" spans="2:20" ht="15">
      <c r="B4" s="17" t="s">
        <v>10</v>
      </c>
      <c r="C4" s="91">
        <f>'DATA Conservative'!C38</f>
        <v>0.67</v>
      </c>
      <c r="D4" s="92">
        <v>0.3</v>
      </c>
      <c r="E4" s="93">
        <f>(11.2/6.1)^(1/2)-1</f>
        <v>0.3550149717883164</v>
      </c>
      <c r="F4" s="94" t="s">
        <v>28</v>
      </c>
      <c r="G4" s="94"/>
      <c r="H4" s="94"/>
      <c r="I4" s="94"/>
      <c r="J4" s="94"/>
      <c r="K4" s="94"/>
      <c r="L4" s="94"/>
      <c r="M4" s="94"/>
      <c r="N4" s="94"/>
      <c r="O4" s="94"/>
      <c r="P4" s="94"/>
      <c r="Q4" s="94"/>
      <c r="R4" s="94"/>
      <c r="S4" s="94"/>
      <c r="T4" s="94"/>
    </row>
    <row r="5" spans="2:20" ht="15">
      <c r="B5" s="95" t="s">
        <v>13</v>
      </c>
      <c r="C5" s="96">
        <f>'DATA Conservative'!C98</f>
        <v>0.4</v>
      </c>
      <c r="D5" s="97">
        <v>0.11</v>
      </c>
      <c r="E5" s="93">
        <f>(25.82/16.44)^(1/2)-1</f>
        <v>0.25321969770092423</v>
      </c>
      <c r="F5" s="94" t="s">
        <v>29</v>
      </c>
      <c r="G5" s="94"/>
      <c r="H5" s="94"/>
      <c r="I5" s="94"/>
      <c r="J5" s="94"/>
      <c r="K5" s="94"/>
      <c r="L5" s="94"/>
      <c r="M5" s="94"/>
      <c r="N5" s="94"/>
      <c r="O5" s="94"/>
      <c r="P5" s="94"/>
      <c r="Q5" s="94"/>
      <c r="R5" s="94"/>
      <c r="S5" s="94"/>
      <c r="T5" s="94"/>
    </row>
    <row r="6" spans="2:20" ht="15">
      <c r="B6" s="98" t="s">
        <v>30</v>
      </c>
      <c r="C6" s="99" t="s">
        <v>6</v>
      </c>
      <c r="D6" s="100" t="s">
        <v>7</v>
      </c>
      <c r="E6" s="101"/>
      <c r="F6" s="94"/>
      <c r="G6" s="94"/>
      <c r="H6" s="94"/>
      <c r="I6" s="102"/>
      <c r="J6" s="94"/>
      <c r="K6" s="94"/>
      <c r="L6" s="103"/>
      <c r="M6" s="94"/>
      <c r="N6" s="94"/>
      <c r="O6" s="94"/>
      <c r="P6" s="94"/>
      <c r="Q6" s="94"/>
      <c r="R6" s="94"/>
      <c r="S6" s="94"/>
      <c r="T6" s="94"/>
    </row>
    <row r="7" spans="2:20" ht="15">
      <c r="B7" s="17" t="s">
        <v>10</v>
      </c>
      <c r="C7" s="104">
        <f>'DATA Conservative'!C30</f>
        <v>0.035</v>
      </c>
      <c r="D7" s="92">
        <v>0.02</v>
      </c>
      <c r="E7" s="101"/>
      <c r="F7" s="94"/>
      <c r="G7" s="94"/>
      <c r="H7" s="94"/>
      <c r="I7" s="102"/>
      <c r="J7" s="94"/>
      <c r="K7" s="94"/>
      <c r="L7" s="103"/>
      <c r="M7" s="94"/>
      <c r="N7" s="94"/>
      <c r="O7" s="94"/>
      <c r="P7" s="94"/>
      <c r="Q7" s="94"/>
      <c r="R7" s="94"/>
      <c r="S7" s="94"/>
      <c r="T7" s="94"/>
    </row>
    <row r="8" spans="2:20" ht="15">
      <c r="B8" s="105" t="s">
        <v>13</v>
      </c>
      <c r="C8" s="106">
        <f>'DATA Conservative'!C90</f>
        <v>0.07</v>
      </c>
      <c r="D8" s="107">
        <v>0.05</v>
      </c>
      <c r="E8" s="108" t="s">
        <v>31</v>
      </c>
      <c r="F8" s="94" t="s">
        <v>32</v>
      </c>
      <c r="H8" s="94"/>
      <c r="I8" s="94"/>
      <c r="J8" s="94"/>
      <c r="K8" s="94"/>
      <c r="L8" s="103"/>
      <c r="M8" s="94"/>
      <c r="N8" s="94"/>
      <c r="O8" s="94"/>
      <c r="P8" s="94"/>
      <c r="Q8" s="94"/>
      <c r="R8" s="94"/>
      <c r="S8" s="94"/>
      <c r="T8" s="94"/>
    </row>
    <row r="9" spans="2:20" ht="15">
      <c r="B9" s="109" t="s">
        <v>33</v>
      </c>
      <c r="C9" s="88" t="s">
        <v>34</v>
      </c>
      <c r="D9" s="89"/>
      <c r="E9" s="108"/>
      <c r="F9" s="94"/>
      <c r="G9" s="94"/>
      <c r="H9" s="94"/>
      <c r="I9" s="94"/>
      <c r="J9" s="94"/>
      <c r="K9" s="94"/>
      <c r="L9" s="103"/>
      <c r="M9" s="94"/>
      <c r="N9" s="94"/>
      <c r="O9" s="94"/>
      <c r="P9" s="94"/>
      <c r="Q9" s="94"/>
      <c r="R9" s="94"/>
      <c r="S9" s="94"/>
      <c r="T9" s="94"/>
    </row>
    <row r="10" spans="2:20" ht="15">
      <c r="B10" s="110"/>
      <c r="C10" s="82" t="s">
        <v>35</v>
      </c>
      <c r="D10" s="83" t="s">
        <v>7</v>
      </c>
      <c r="E10" s="108"/>
      <c r="F10" s="94"/>
      <c r="G10" s="94"/>
      <c r="H10" s="94"/>
      <c r="I10" s="94"/>
      <c r="J10" s="94"/>
      <c r="K10" s="94"/>
      <c r="L10" s="103"/>
      <c r="M10" s="94"/>
      <c r="N10" s="94"/>
      <c r="O10" s="94"/>
      <c r="P10" s="94"/>
      <c r="Q10" s="94"/>
      <c r="R10" s="94"/>
      <c r="S10" s="94"/>
      <c r="T10" s="94"/>
    </row>
    <row r="11" spans="2:20" ht="15">
      <c r="B11" s="111" t="s">
        <v>13</v>
      </c>
      <c r="C11" s="112">
        <v>0.4</v>
      </c>
      <c r="D11" s="113">
        <v>0.2</v>
      </c>
      <c r="E11" s="108"/>
      <c r="F11" s="94"/>
      <c r="G11" s="94"/>
      <c r="H11" s="94"/>
      <c r="I11" s="94"/>
      <c r="J11" s="94"/>
      <c r="K11" s="94"/>
      <c r="L11" s="103"/>
      <c r="M11" s="94"/>
      <c r="N11" s="94"/>
      <c r="O11" s="94"/>
      <c r="P11" s="94"/>
      <c r="Q11" s="94"/>
      <c r="R11" s="94"/>
      <c r="S11" s="94"/>
      <c r="T11" s="94"/>
    </row>
    <row r="12" ht="15"/>
    <row r="13" spans="2:20" ht="15" customHeight="1">
      <c r="B13" s="114" t="s">
        <v>17</v>
      </c>
      <c r="C13" s="88" t="s">
        <v>1</v>
      </c>
      <c r="D13" s="89"/>
      <c r="E13" s="115"/>
      <c r="F13" s="115"/>
      <c r="G13" s="94"/>
      <c r="I13" s="116"/>
      <c r="J13" s="94"/>
      <c r="K13" s="94"/>
      <c r="L13" s="94"/>
      <c r="M13" s="94"/>
      <c r="N13" s="94"/>
      <c r="O13" s="94"/>
      <c r="P13" s="94"/>
      <c r="Q13" s="94"/>
      <c r="R13" s="94"/>
      <c r="S13" s="94"/>
      <c r="T13" s="94"/>
    </row>
    <row r="14" spans="2:20" ht="15">
      <c r="B14" s="117"/>
      <c r="C14" s="90" t="s">
        <v>6</v>
      </c>
      <c r="D14" s="41" t="s">
        <v>7</v>
      </c>
      <c r="G14" s="94"/>
      <c r="I14" s="94"/>
      <c r="J14" s="94"/>
      <c r="K14" s="94"/>
      <c r="L14" s="94"/>
      <c r="M14" s="94"/>
      <c r="N14" s="94"/>
      <c r="O14" s="94"/>
      <c r="P14" s="94"/>
      <c r="Q14" s="94"/>
      <c r="R14" s="94"/>
      <c r="S14" s="94"/>
      <c r="T14" s="94"/>
    </row>
    <row r="15" spans="2:15" ht="15">
      <c r="B15" s="17" t="s">
        <v>19</v>
      </c>
      <c r="C15" s="118">
        <f>'DATA Conservative'!C129</f>
        <v>0.15</v>
      </c>
      <c r="D15" s="119">
        <v>0.09</v>
      </c>
      <c r="E15" s="108" t="s">
        <v>36</v>
      </c>
      <c r="I15" s="94"/>
      <c r="J15" s="116"/>
      <c r="K15" s="94"/>
      <c r="L15" s="94"/>
      <c r="M15" s="94"/>
      <c r="N15" s="94"/>
      <c r="O15" s="94"/>
    </row>
    <row r="16" spans="2:15" ht="15">
      <c r="B16" s="24" t="s">
        <v>20</v>
      </c>
      <c r="C16" s="120">
        <f>'DATA Conservative'!C130</f>
        <v>0.31</v>
      </c>
      <c r="D16" s="107">
        <v>0.13</v>
      </c>
      <c r="E16" s="108" t="s">
        <v>36</v>
      </c>
      <c r="I16" s="115"/>
      <c r="L16" s="94"/>
      <c r="M16" s="94"/>
      <c r="N16" s="94"/>
      <c r="O16" s="94"/>
    </row>
    <row r="17" spans="2:15" ht="15">
      <c r="B17" s="24" t="s">
        <v>21</v>
      </c>
      <c r="C17" s="121">
        <f>'DATA Conservative'!C132</f>
        <v>0.37</v>
      </c>
      <c r="D17" s="122">
        <v>0.23</v>
      </c>
      <c r="E17" s="108" t="s">
        <v>37</v>
      </c>
      <c r="I17" s="115"/>
      <c r="L17" s="94"/>
      <c r="M17" s="94"/>
      <c r="N17" s="94"/>
      <c r="O17" s="94"/>
    </row>
    <row r="18" spans="2:15" ht="15">
      <c r="B18" s="123" t="s">
        <v>38</v>
      </c>
      <c r="C18" s="124">
        <f>'DATA Conservative'!C140</f>
        <v>-0.22</v>
      </c>
      <c r="D18" s="125">
        <v>-0.16</v>
      </c>
      <c r="E18" s="101" t="s">
        <v>39</v>
      </c>
      <c r="L18" s="94"/>
      <c r="M18" s="94"/>
      <c r="N18" s="94"/>
      <c r="O18" s="94"/>
    </row>
    <row r="19" spans="2:15" ht="15">
      <c r="B19" s="126" t="s">
        <v>40</v>
      </c>
      <c r="C19" s="120">
        <f>'DATA Conservative'!C141</f>
        <v>-0.22</v>
      </c>
      <c r="D19" s="107">
        <v>-0.16</v>
      </c>
      <c r="L19" s="94"/>
      <c r="M19" s="94"/>
      <c r="N19" s="94"/>
      <c r="O19" s="94"/>
    </row>
    <row r="20" spans="2:15" ht="15">
      <c r="B20" s="105" t="s">
        <v>41</v>
      </c>
      <c r="C20" s="121">
        <f>'DATA Conservative'!D142</f>
        <v>-0.2</v>
      </c>
      <c r="D20" s="122">
        <v>-0.15</v>
      </c>
      <c r="J20" s="94"/>
      <c r="K20" s="94"/>
      <c r="L20" s="56"/>
      <c r="M20" s="94"/>
      <c r="N20" s="94"/>
      <c r="O20" s="94"/>
    </row>
    <row r="21" spans="2:15" ht="15">
      <c r="B21" s="114" t="s">
        <v>17</v>
      </c>
      <c r="C21" s="88" t="s">
        <v>2</v>
      </c>
      <c r="D21" s="89"/>
      <c r="E21" s="54"/>
      <c r="F21" s="127"/>
      <c r="J21" s="94"/>
      <c r="K21" s="94"/>
      <c r="L21" s="56"/>
      <c r="M21" s="94"/>
      <c r="N21" s="94"/>
      <c r="O21" s="94"/>
    </row>
    <row r="22" spans="2:15" ht="15">
      <c r="B22" s="117"/>
      <c r="C22" s="90" t="s">
        <v>6</v>
      </c>
      <c r="D22" s="41" t="s">
        <v>7</v>
      </c>
      <c r="E22" s="54"/>
      <c r="F22" s="127"/>
      <c r="J22" s="94"/>
      <c r="K22" s="94"/>
      <c r="L22" s="56"/>
      <c r="M22" s="94"/>
      <c r="N22" s="94"/>
      <c r="O22" s="94"/>
    </row>
    <row r="23" spans="2:15" ht="15">
      <c r="B23" s="123" t="s">
        <v>38</v>
      </c>
      <c r="C23" s="118">
        <f>'DATA Growth'!D140</f>
        <v>-0.22</v>
      </c>
      <c r="D23" s="119">
        <v>-0.18</v>
      </c>
      <c r="F23" s="127"/>
      <c r="J23" s="94"/>
      <c r="K23" s="94"/>
      <c r="L23" s="56"/>
      <c r="M23" s="94"/>
      <c r="N23" s="94"/>
      <c r="O23" s="94"/>
    </row>
    <row r="24" spans="2:15" ht="15">
      <c r="B24" s="126" t="s">
        <v>40</v>
      </c>
      <c r="C24" s="120">
        <f>'DATA Growth'!D141</f>
        <v>-0.22</v>
      </c>
      <c r="D24" s="107">
        <v>-0.18</v>
      </c>
      <c r="F24" s="127"/>
      <c r="J24" s="94"/>
      <c r="K24" s="94"/>
      <c r="L24" s="56"/>
      <c r="M24" s="94"/>
      <c r="N24" s="94"/>
      <c r="O24" s="94"/>
    </row>
    <row r="25" spans="2:15" ht="15">
      <c r="B25" s="105" t="s">
        <v>41</v>
      </c>
      <c r="C25" s="121">
        <f>'DATA Growth'!D142</f>
        <v>-0.2</v>
      </c>
      <c r="D25" s="122">
        <v>-0.22</v>
      </c>
      <c r="F25" s="127"/>
      <c r="J25" s="94"/>
      <c r="K25" s="94"/>
      <c r="L25" s="56"/>
      <c r="M25" s="94"/>
      <c r="N25" s="94"/>
      <c r="O25" s="94"/>
    </row>
    <row r="26" spans="2:15" ht="15">
      <c r="B26" s="128"/>
      <c r="C26" s="129"/>
      <c r="D26" s="86"/>
      <c r="H26" s="101"/>
      <c r="I26" s="115"/>
      <c r="J26" s="115"/>
      <c r="K26" s="94"/>
      <c r="L26" s="56"/>
      <c r="M26" s="56"/>
      <c r="N26" s="94"/>
      <c r="O26" s="94"/>
    </row>
    <row r="27" spans="2:22" ht="15">
      <c r="B27" s="130" t="s">
        <v>42</v>
      </c>
      <c r="C27" s="131"/>
      <c r="D27" s="132" t="s">
        <v>7</v>
      </c>
      <c r="H27" s="87"/>
      <c r="L27" s="56"/>
      <c r="M27" s="56"/>
      <c r="U27" s="94"/>
      <c r="V27" s="94"/>
    </row>
    <row r="28" spans="2:22" ht="15">
      <c r="B28" s="133" t="s">
        <v>43</v>
      </c>
      <c r="C28" s="134"/>
      <c r="D28" s="135">
        <v>-0.04</v>
      </c>
      <c r="H28" s="87"/>
      <c r="L28" s="56"/>
      <c r="M28" s="56"/>
      <c r="U28" s="94"/>
      <c r="V28" s="94"/>
    </row>
    <row r="29" spans="8:22" ht="15">
      <c r="H29" s="87"/>
      <c r="U29" s="94"/>
      <c r="V29" s="94"/>
    </row>
    <row r="30" spans="21:22" ht="15">
      <c r="U30" s="94"/>
      <c r="V30" s="94"/>
    </row>
    <row r="31" spans="21:22" ht="15">
      <c r="U31" s="94"/>
      <c r="V31" s="94"/>
    </row>
    <row r="32" spans="7:22" ht="15">
      <c r="G32" s="136"/>
      <c r="U32" s="94"/>
      <c r="V32" s="94"/>
    </row>
    <row r="33" spans="7:22" ht="15">
      <c r="G33" s="136"/>
      <c r="U33" s="94"/>
      <c r="V33" s="94"/>
    </row>
    <row r="34" spans="7:22" ht="15">
      <c r="G34" s="137"/>
      <c r="U34" s="94"/>
      <c r="V34" s="94"/>
    </row>
    <row r="35" spans="8:9" ht="15">
      <c r="H35" s="138"/>
      <c r="I35" s="138"/>
    </row>
    <row r="36" ht="15">
      <c r="I36" s="139"/>
    </row>
    <row r="37" spans="7:12" ht="15">
      <c r="G37" s="137"/>
      <c r="I37" s="138"/>
      <c r="K37" s="56"/>
      <c r="L37" s="56"/>
    </row>
    <row r="38" spans="7:12" ht="15">
      <c r="G38" s="137"/>
      <c r="I38" s="139"/>
      <c r="K38" s="56"/>
      <c r="L38" s="56"/>
    </row>
    <row r="39" spans="7:12" ht="15">
      <c r="G39" s="140"/>
      <c r="K39" s="56"/>
      <c r="L39" s="56"/>
    </row>
    <row r="40" spans="7:12" ht="15">
      <c r="G40" s="141"/>
      <c r="L40" s="56"/>
    </row>
  </sheetData>
  <mergeCells count="10">
    <mergeCell ref="C2:D2"/>
    <mergeCell ref="B9:B10"/>
    <mergeCell ref="C9:D9"/>
    <mergeCell ref="B13:B14"/>
    <mergeCell ref="C13:D13"/>
    <mergeCell ref="E13:F13"/>
    <mergeCell ref="B21:B22"/>
    <mergeCell ref="C21:D21"/>
    <mergeCell ref="B27:C27"/>
    <mergeCell ref="B28:C28"/>
  </mergeCells>
  <printOptions/>
  <pageMargins left="0.7" right="0.7" top="0.75" bottom="0.75" header="0.3" footer="0.3"/>
  <pageSetup horizontalDpi="600" verticalDpi="600" orientation="portrait" paperSize="9" copies="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AA431"/>
  <sheetViews>
    <sheetView zoomScale="50" zoomScaleNormal="50" workbookViewId="0" topLeftCell="A39">
      <selection activeCell="P59" sqref="P59"/>
    </sheetView>
  </sheetViews>
  <sheetFormatPr defaultColWidth="11.421875" defaultRowHeight="15"/>
  <cols>
    <col min="1" max="1" width="48.8515625" style="143" customWidth="1"/>
    <col min="2" max="5" width="13.57421875" style="143" customWidth="1"/>
    <col min="6" max="6" width="17.140625" style="143" customWidth="1"/>
    <col min="7" max="7" width="15.57421875" style="143" customWidth="1"/>
    <col min="8" max="8" width="12.8515625" style="143" customWidth="1"/>
    <col min="9" max="9" width="15.57421875" style="143" customWidth="1"/>
    <col min="10" max="10" width="12.8515625" style="143" customWidth="1"/>
    <col min="11" max="11" width="18.140625" style="143" customWidth="1"/>
    <col min="12" max="12" width="15.8515625" style="143" customWidth="1"/>
    <col min="13" max="13" width="16.00390625" style="142" customWidth="1"/>
    <col min="14" max="14" width="11.8515625" style="142" customWidth="1"/>
    <col min="15" max="15" width="13.28125" style="142" customWidth="1"/>
    <col min="16" max="16" width="11.140625" style="142" customWidth="1"/>
    <col min="17" max="21" width="8.57421875" style="142" customWidth="1"/>
    <col min="22" max="22" width="10.57421875" style="142" bestFit="1" customWidth="1"/>
    <col min="23" max="23" width="11.57421875" style="142" bestFit="1" customWidth="1"/>
    <col min="24" max="24" width="23.28125" style="142" customWidth="1"/>
    <col min="25" max="25" width="16.28125" style="142" customWidth="1"/>
    <col min="26" max="26" width="15.421875" style="142" customWidth="1"/>
    <col min="27" max="27" width="34.57421875" style="142" customWidth="1"/>
    <col min="28" max="28" width="26.140625" style="142" customWidth="1"/>
    <col min="29" max="16384" width="10.8515625" style="142" customWidth="1"/>
  </cols>
  <sheetData>
    <row r="1" ht="15" customHeight="1"/>
    <row r="2" spans="1:12" ht="15" customHeight="1">
      <c r="A2" s="144" t="s">
        <v>44</v>
      </c>
      <c r="B2" s="145"/>
      <c r="C2" s="145"/>
      <c r="D2" s="145"/>
      <c r="E2" s="145"/>
      <c r="F2" s="146"/>
      <c r="H2" s="142"/>
      <c r="I2" s="142"/>
      <c r="J2" s="142"/>
      <c r="K2" s="142"/>
      <c r="L2" s="142"/>
    </row>
    <row r="3" spans="1:12" ht="15" customHeight="1">
      <c r="A3" s="147"/>
      <c r="B3" s="148"/>
      <c r="C3" s="148"/>
      <c r="D3" s="148"/>
      <c r="E3" s="148"/>
      <c r="F3" s="149"/>
      <c r="H3" s="142"/>
      <c r="I3" s="142"/>
      <c r="J3" s="142"/>
      <c r="K3" s="142"/>
      <c r="L3" s="142"/>
    </row>
    <row r="4" ht="15" customHeight="1"/>
    <row r="5" spans="1:23" ht="30" customHeight="1">
      <c r="A5" s="150" t="s">
        <v>45</v>
      </c>
      <c r="M5" s="143"/>
      <c r="N5" s="143"/>
      <c r="O5" s="143"/>
      <c r="P5" s="143"/>
      <c r="Q5" s="143"/>
      <c r="R5" s="143"/>
      <c r="S5" s="143"/>
      <c r="T5" s="143"/>
      <c r="U5" s="143"/>
      <c r="V5" s="143"/>
      <c r="W5" s="143"/>
    </row>
    <row r="6" ht="15" customHeight="1"/>
    <row r="7" spans="1:24" ht="30" customHeight="1">
      <c r="A7" s="151" t="s">
        <v>46</v>
      </c>
      <c r="B7" s="152"/>
      <c r="C7" s="152"/>
      <c r="D7" s="152"/>
      <c r="E7" s="152" t="s">
        <v>47</v>
      </c>
      <c r="F7" s="153">
        <v>2013</v>
      </c>
      <c r="G7" s="152">
        <v>2014</v>
      </c>
      <c r="H7" s="152">
        <v>2015</v>
      </c>
      <c r="I7" s="152">
        <v>2016</v>
      </c>
      <c r="J7" s="152">
        <v>2017</v>
      </c>
      <c r="K7" s="152">
        <v>2018</v>
      </c>
      <c r="L7" s="152">
        <v>2019</v>
      </c>
      <c r="M7" s="152">
        <v>2020</v>
      </c>
      <c r="N7" s="152">
        <v>2021</v>
      </c>
      <c r="O7" s="152">
        <v>2022</v>
      </c>
      <c r="P7" s="154">
        <v>2023</v>
      </c>
      <c r="Q7" s="153">
        <v>2024</v>
      </c>
      <c r="R7" s="154">
        <v>2025</v>
      </c>
      <c r="S7" s="153">
        <v>2026</v>
      </c>
      <c r="T7" s="152">
        <v>2027</v>
      </c>
      <c r="U7" s="152">
        <v>2028</v>
      </c>
      <c r="V7" s="152">
        <v>2029</v>
      </c>
      <c r="W7" s="154">
        <v>2030</v>
      </c>
      <c r="X7" s="142" t="s">
        <v>48</v>
      </c>
    </row>
    <row r="8" spans="1:24" ht="15" customHeight="1">
      <c r="A8" s="155" t="s">
        <v>49</v>
      </c>
      <c r="B8" s="156"/>
      <c r="C8" s="156"/>
      <c r="D8" s="157"/>
      <c r="E8" s="158" t="s">
        <v>50</v>
      </c>
      <c r="F8" s="159">
        <v>19488</v>
      </c>
      <c r="G8" s="160">
        <v>19880</v>
      </c>
      <c r="H8" s="160">
        <v>20200</v>
      </c>
      <c r="I8" s="160">
        <v>20829</v>
      </c>
      <c r="J8" s="160">
        <v>21372</v>
      </c>
      <c r="K8" s="160">
        <f>J8*1.021</f>
        <v>21820.811999999998</v>
      </c>
      <c r="L8" s="160">
        <f aca="true" t="shared" si="0" ref="L8:R8">K8*1.021</f>
        <v>22279.049051999995</v>
      </c>
      <c r="M8" s="160">
        <f t="shared" si="0"/>
        <v>22746.909082091992</v>
      </c>
      <c r="N8" s="160">
        <f t="shared" si="0"/>
        <v>23224.594172815923</v>
      </c>
      <c r="O8" s="160">
        <f t="shared" si="0"/>
        <v>23712.310650445055</v>
      </c>
      <c r="P8" s="161">
        <f t="shared" si="0"/>
        <v>24210.2691741044</v>
      </c>
      <c r="Q8" s="159">
        <f t="shared" si="0"/>
        <v>24718.68482676059</v>
      </c>
      <c r="R8" s="160">
        <f t="shared" si="0"/>
        <v>25237.77720812256</v>
      </c>
      <c r="S8" s="162">
        <f>R8*1.021</f>
        <v>25767.77052949313</v>
      </c>
      <c r="T8" s="163">
        <f aca="true" t="shared" si="1" ref="T8:W8">S8*1.021</f>
        <v>26308.893710612483</v>
      </c>
      <c r="U8" s="163">
        <f t="shared" si="1"/>
        <v>26861.380478535342</v>
      </c>
      <c r="V8" s="163">
        <f t="shared" si="1"/>
        <v>27425.469468584583</v>
      </c>
      <c r="W8" s="164">
        <f t="shared" si="1"/>
        <v>28001.404327424858</v>
      </c>
      <c r="X8" s="142" t="s">
        <v>51</v>
      </c>
    </row>
    <row r="9" spans="1:23" ht="15" customHeight="1">
      <c r="A9" s="155" t="s">
        <v>52</v>
      </c>
      <c r="B9" s="157"/>
      <c r="C9" s="157"/>
      <c r="D9" s="157"/>
      <c r="E9" s="157"/>
      <c r="F9" s="159">
        <v>23418</v>
      </c>
      <c r="G9" s="160">
        <v>23856</v>
      </c>
      <c r="H9" s="160">
        <v>24313</v>
      </c>
      <c r="I9" s="160">
        <v>24986</v>
      </c>
      <c r="J9" s="160">
        <v>25606</v>
      </c>
      <c r="K9" s="160"/>
      <c r="L9" s="160"/>
      <c r="M9" s="160"/>
      <c r="N9" s="160"/>
      <c r="O9" s="160"/>
      <c r="P9" s="161"/>
      <c r="Q9" s="159"/>
      <c r="R9" s="160"/>
      <c r="S9" s="159"/>
      <c r="T9" s="160"/>
      <c r="U9" s="160"/>
      <c r="V9" s="160"/>
      <c r="W9" s="161"/>
    </row>
    <row r="10" spans="1:23" ht="15" customHeight="1">
      <c r="A10" s="155" t="s">
        <v>53</v>
      </c>
      <c r="B10" s="157"/>
      <c r="C10" s="157"/>
      <c r="D10" s="157"/>
      <c r="E10" s="157"/>
      <c r="F10" s="159"/>
      <c r="G10" s="160">
        <f>5158*11.3</f>
        <v>58285.4</v>
      </c>
      <c r="H10" s="160"/>
      <c r="I10" s="160"/>
      <c r="J10" s="160"/>
      <c r="K10" s="160"/>
      <c r="L10" s="160"/>
      <c r="M10" s="160">
        <f>5453*11.3</f>
        <v>61618.9</v>
      </c>
      <c r="N10" s="160"/>
      <c r="O10" s="160"/>
      <c r="P10" s="161"/>
      <c r="Q10" s="159"/>
      <c r="R10" s="160"/>
      <c r="S10" s="159"/>
      <c r="T10" s="160"/>
      <c r="U10" s="160"/>
      <c r="V10" s="160"/>
      <c r="W10" s="161"/>
    </row>
    <row r="11" spans="1:23" ht="15" customHeight="1">
      <c r="A11" s="155" t="s">
        <v>54</v>
      </c>
      <c r="B11" s="157"/>
      <c r="C11" s="157"/>
      <c r="D11" s="157"/>
      <c r="E11" s="157"/>
      <c r="F11" s="165"/>
      <c r="G11" s="166">
        <f>G10/G8</f>
        <v>2.9318611670020123</v>
      </c>
      <c r="H11" s="166"/>
      <c r="I11" s="166"/>
      <c r="J11" s="166"/>
      <c r="K11" s="166"/>
      <c r="L11" s="166"/>
      <c r="M11" s="166">
        <f>M10/M8</f>
        <v>2.7088911191239977</v>
      </c>
      <c r="N11" s="166"/>
      <c r="O11" s="166"/>
      <c r="P11" s="167"/>
      <c r="Q11" s="165"/>
      <c r="R11" s="166"/>
      <c r="S11" s="165"/>
      <c r="T11" s="166"/>
      <c r="U11" s="166"/>
      <c r="V11" s="166"/>
      <c r="W11" s="167"/>
    </row>
    <row r="12" spans="1:24" ht="15" customHeight="1">
      <c r="A12" s="155" t="s">
        <v>55</v>
      </c>
      <c r="B12" s="157"/>
      <c r="C12" s="156"/>
      <c r="D12" s="157"/>
      <c r="E12" s="158" t="s">
        <v>56</v>
      </c>
      <c r="F12" s="159">
        <v>534.9079463838059</v>
      </c>
      <c r="G12" s="160">
        <v>539.2497921747522</v>
      </c>
      <c r="H12" s="160">
        <v>543.1748996320798</v>
      </c>
      <c r="I12" s="160">
        <v>550.6013359894824</v>
      </c>
      <c r="J12" s="160">
        <v>560.4215751046033</v>
      </c>
      <c r="K12" s="160">
        <v>576.2288096227534</v>
      </c>
      <c r="L12" s="160">
        <v>583.8989769043484</v>
      </c>
      <c r="M12" s="160">
        <f>L12*1.013</f>
        <v>591.4896636041049</v>
      </c>
      <c r="N12" s="168">
        <v>591.4896636041049</v>
      </c>
      <c r="O12" s="168">
        <v>591.4896636041049</v>
      </c>
      <c r="P12" s="169">
        <v>591.4896636041049</v>
      </c>
      <c r="Q12" s="170">
        <v>591.4896636041049</v>
      </c>
      <c r="R12" s="168">
        <v>591.4896636041049</v>
      </c>
      <c r="S12" s="170">
        <f aca="true" t="shared" si="2" ref="S12:S13">R12</f>
        <v>591.4896636041049</v>
      </c>
      <c r="T12" s="168">
        <f aca="true" t="shared" si="3" ref="T12:W13">S12</f>
        <v>591.4896636041049</v>
      </c>
      <c r="U12" s="168">
        <f t="shared" si="3"/>
        <v>591.4896636041049</v>
      </c>
      <c r="V12" s="168">
        <f t="shared" si="3"/>
        <v>591.4896636041049</v>
      </c>
      <c r="W12" s="169">
        <f t="shared" si="3"/>
        <v>591.4896636041049</v>
      </c>
      <c r="X12" s="142" t="s">
        <v>57</v>
      </c>
    </row>
    <row r="13" spans="1:23" ht="15" customHeight="1">
      <c r="A13" s="155" t="s">
        <v>58</v>
      </c>
      <c r="B13" s="157"/>
      <c r="C13" s="156"/>
      <c r="D13" s="157"/>
      <c r="E13" s="158" t="s">
        <v>50</v>
      </c>
      <c r="F13" s="159">
        <f>278*F12</f>
        <v>148704.40909469803</v>
      </c>
      <c r="G13" s="160">
        <f aca="true" t="shared" si="4" ref="G13:R13">278*G12</f>
        <v>149911.44222458111</v>
      </c>
      <c r="H13" s="160">
        <f t="shared" si="4"/>
        <v>151002.62209771818</v>
      </c>
      <c r="I13" s="160">
        <f t="shared" si="4"/>
        <v>153067.1714050761</v>
      </c>
      <c r="J13" s="160">
        <f t="shared" si="4"/>
        <v>155797.19787907973</v>
      </c>
      <c r="K13" s="160">
        <f t="shared" si="4"/>
        <v>160191.60907512545</v>
      </c>
      <c r="L13" s="160">
        <f t="shared" si="4"/>
        <v>162323.91557940884</v>
      </c>
      <c r="M13" s="160">
        <f t="shared" si="4"/>
        <v>164434.12648194114</v>
      </c>
      <c r="N13" s="160">
        <f t="shared" si="4"/>
        <v>164434.12648194114</v>
      </c>
      <c r="O13" s="160">
        <f t="shared" si="4"/>
        <v>164434.12648194114</v>
      </c>
      <c r="P13" s="161">
        <f t="shared" si="4"/>
        <v>164434.12648194114</v>
      </c>
      <c r="Q13" s="159">
        <f t="shared" si="4"/>
        <v>164434.12648194114</v>
      </c>
      <c r="R13" s="160">
        <f t="shared" si="4"/>
        <v>164434.12648194114</v>
      </c>
      <c r="S13" s="159">
        <f t="shared" si="2"/>
        <v>164434.12648194114</v>
      </c>
      <c r="T13" s="160">
        <f t="shared" si="3"/>
        <v>164434.12648194114</v>
      </c>
      <c r="U13" s="160">
        <f aca="true" t="shared" si="5" ref="U13:W13">T13</f>
        <v>164434.12648194114</v>
      </c>
      <c r="V13" s="160">
        <f t="shared" si="5"/>
        <v>164434.12648194114</v>
      </c>
      <c r="W13" s="161">
        <f t="shared" si="5"/>
        <v>164434.12648194114</v>
      </c>
    </row>
    <row r="14" spans="1:24" ht="15" customHeight="1">
      <c r="A14" s="155" t="s">
        <v>59</v>
      </c>
      <c r="B14" s="157"/>
      <c r="C14" s="156"/>
      <c r="D14" s="157"/>
      <c r="E14" s="158" t="s">
        <v>56</v>
      </c>
      <c r="F14" s="159">
        <v>9214</v>
      </c>
      <c r="G14" s="160">
        <v>9315</v>
      </c>
      <c r="H14" s="160">
        <v>9414</v>
      </c>
      <c r="I14" s="160">
        <v>9534</v>
      </c>
      <c r="J14" s="160">
        <v>9717</v>
      </c>
      <c r="K14" s="160">
        <f>J14*1.013</f>
        <v>9843.321</v>
      </c>
      <c r="L14" s="160">
        <f aca="true" t="shared" si="6" ref="L14:R14">K14*1.013</f>
        <v>9971.284172999998</v>
      </c>
      <c r="M14" s="160">
        <f t="shared" si="6"/>
        <v>10100.910867248997</v>
      </c>
      <c r="N14" s="160">
        <f t="shared" si="6"/>
        <v>10232.222708523232</v>
      </c>
      <c r="O14" s="160">
        <f t="shared" si="6"/>
        <v>10365.241603734032</v>
      </c>
      <c r="P14" s="161">
        <f t="shared" si="6"/>
        <v>10499.989744582574</v>
      </c>
      <c r="Q14" s="159">
        <f t="shared" si="6"/>
        <v>10636.489611262146</v>
      </c>
      <c r="R14" s="160">
        <f t="shared" si="6"/>
        <v>10774.763976208553</v>
      </c>
      <c r="S14" s="159">
        <f>R14*1.013</f>
        <v>10914.835907899263</v>
      </c>
      <c r="T14" s="160">
        <f>S14*1.013</f>
        <v>11056.728774701953</v>
      </c>
      <c r="U14" s="160">
        <f aca="true" t="shared" si="7" ref="U14:W14">T14*1.013</f>
        <v>11200.466248773077</v>
      </c>
      <c r="V14" s="160">
        <f t="shared" si="7"/>
        <v>11346.072310007126</v>
      </c>
      <c r="W14" s="161">
        <f t="shared" si="7"/>
        <v>11493.571250037217</v>
      </c>
      <c r="X14" s="142" t="s">
        <v>60</v>
      </c>
    </row>
    <row r="15" spans="1:23" ht="15" customHeight="1">
      <c r="A15" s="155" t="s">
        <v>61</v>
      </c>
      <c r="B15" s="157"/>
      <c r="C15" s="156"/>
      <c r="D15" s="157"/>
      <c r="E15" s="158" t="s">
        <v>50</v>
      </c>
      <c r="F15" s="159">
        <f>11.63*F14</f>
        <v>107158.82</v>
      </c>
      <c r="G15" s="160">
        <f aca="true" t="shared" si="8" ref="G15:R15">11.63*G14</f>
        <v>108333.45000000001</v>
      </c>
      <c r="H15" s="160">
        <f t="shared" si="8"/>
        <v>109484.82</v>
      </c>
      <c r="I15" s="160">
        <f t="shared" si="8"/>
        <v>110880.42000000001</v>
      </c>
      <c r="J15" s="160">
        <f t="shared" si="8"/>
        <v>113008.71</v>
      </c>
      <c r="K15" s="160">
        <f t="shared" si="8"/>
        <v>114477.82323000001</v>
      </c>
      <c r="L15" s="160">
        <f t="shared" si="8"/>
        <v>115966.03493198998</v>
      </c>
      <c r="M15" s="160">
        <f t="shared" si="8"/>
        <v>117473.59338610584</v>
      </c>
      <c r="N15" s="160">
        <f t="shared" si="8"/>
        <v>119000.7501001252</v>
      </c>
      <c r="O15" s="160">
        <f t="shared" si="8"/>
        <v>120547.7598514268</v>
      </c>
      <c r="P15" s="161">
        <f t="shared" si="8"/>
        <v>122114.88072949534</v>
      </c>
      <c r="Q15" s="159">
        <f t="shared" si="8"/>
        <v>123702.37417897877</v>
      </c>
      <c r="R15" s="160">
        <f t="shared" si="8"/>
        <v>125310.50504330547</v>
      </c>
      <c r="S15" s="159">
        <f>R15*11.63</f>
        <v>1457361.1736536426</v>
      </c>
      <c r="T15" s="160">
        <f>S15*11.63</f>
        <v>16949110.449591864</v>
      </c>
      <c r="U15" s="160">
        <f aca="true" t="shared" si="9" ref="U15:W15">T15*11.63</f>
        <v>197118154.5287534</v>
      </c>
      <c r="V15" s="160">
        <f t="shared" si="9"/>
        <v>2292484137.169402</v>
      </c>
      <c r="W15" s="161">
        <f t="shared" si="9"/>
        <v>26661590515.280148</v>
      </c>
    </row>
    <row r="16" spans="1:24" ht="15" customHeight="1">
      <c r="A16" s="155" t="s">
        <v>62</v>
      </c>
      <c r="B16" s="157"/>
      <c r="C16" s="156"/>
      <c r="D16" s="157"/>
      <c r="E16" s="158" t="s">
        <v>50</v>
      </c>
      <c r="F16" s="159">
        <f>G16/1.01</f>
        <v>48086.21860034744</v>
      </c>
      <c r="G16" s="160">
        <f>H16/1.01</f>
        <v>48567.08078635092</v>
      </c>
      <c r="H16" s="160">
        <f>I16/1.015</f>
        <v>49052.75159421443</v>
      </c>
      <c r="I16" s="160">
        <f>J16/1.02</f>
        <v>49788.54286812764</v>
      </c>
      <c r="J16" s="160">
        <f>K16/1.02</f>
        <v>50784.313725490196</v>
      </c>
      <c r="K16" s="171">
        <v>51800</v>
      </c>
      <c r="L16" s="160">
        <f>K16*1.017</f>
        <v>52680.6</v>
      </c>
      <c r="M16" s="171">
        <v>51000</v>
      </c>
      <c r="N16" s="168">
        <v>51000</v>
      </c>
      <c r="O16" s="168">
        <v>50000</v>
      </c>
      <c r="P16" s="169">
        <v>48000</v>
      </c>
      <c r="Q16" s="170">
        <v>46000</v>
      </c>
      <c r="R16" s="168">
        <v>44000</v>
      </c>
      <c r="S16" s="170">
        <f>R16</f>
        <v>44000</v>
      </c>
      <c r="T16" s="168">
        <f aca="true" t="shared" si="10" ref="T16:W16">S16</f>
        <v>44000</v>
      </c>
      <c r="U16" s="168">
        <f t="shared" si="10"/>
        <v>44000</v>
      </c>
      <c r="V16" s="168">
        <f t="shared" si="10"/>
        <v>44000</v>
      </c>
      <c r="W16" s="169">
        <f t="shared" si="10"/>
        <v>44000</v>
      </c>
      <c r="X16" s="142" t="s">
        <v>63</v>
      </c>
    </row>
    <row r="17" spans="1:23" ht="15" customHeight="1">
      <c r="A17" s="155" t="s">
        <v>64</v>
      </c>
      <c r="B17" s="157"/>
      <c r="C17" s="156"/>
      <c r="D17" s="157"/>
      <c r="E17" s="158" t="s">
        <v>65</v>
      </c>
      <c r="F17" s="159">
        <v>32795.5541064729</v>
      </c>
      <c r="G17" s="160">
        <v>32804.71869141038</v>
      </c>
      <c r="H17" s="160">
        <v>32787.19767306459</v>
      </c>
      <c r="I17" s="160">
        <v>32936.06603613734</v>
      </c>
      <c r="J17" s="160">
        <v>33279.49133386669</v>
      </c>
      <c r="K17" s="171">
        <v>34007.8910352292</v>
      </c>
      <c r="L17" s="160">
        <v>34169.00078208068</v>
      </c>
      <c r="M17" s="171">
        <f>L17*1.01</f>
        <v>34510.690789901484</v>
      </c>
      <c r="N17" s="168">
        <f>M17</f>
        <v>34510.690789901484</v>
      </c>
      <c r="O17" s="168">
        <f>N17*0.98</f>
        <v>33820.476974103454</v>
      </c>
      <c r="P17" s="169">
        <f>O17*0.96</f>
        <v>32467.657895139317</v>
      </c>
      <c r="Q17" s="170">
        <f aca="true" t="shared" si="11" ref="Q17:R17">P17*0.96</f>
        <v>31168.95157933374</v>
      </c>
      <c r="R17" s="168">
        <f t="shared" si="11"/>
        <v>29922.19351616039</v>
      </c>
      <c r="S17" s="170">
        <f>R17*0.96</f>
        <v>28725.305775513974</v>
      </c>
      <c r="T17" s="168">
        <f aca="true" t="shared" si="12" ref="T17:W17">S17*0.96</f>
        <v>27576.293544493416</v>
      </c>
      <c r="U17" s="168">
        <f t="shared" si="12"/>
        <v>26473.241802713677</v>
      </c>
      <c r="V17" s="168">
        <f t="shared" si="12"/>
        <v>25414.31213060513</v>
      </c>
      <c r="W17" s="169">
        <f t="shared" si="12"/>
        <v>24397.739645380923</v>
      </c>
    </row>
    <row r="18" spans="1:23" ht="15" customHeight="1">
      <c r="A18" s="155" t="s">
        <v>66</v>
      </c>
      <c r="B18" s="157"/>
      <c r="C18" s="156"/>
      <c r="D18" s="157"/>
      <c r="E18" s="158" t="s">
        <v>65</v>
      </c>
      <c r="F18" s="172">
        <f aca="true" t="shared" si="13" ref="F18:R18">F17/F13</f>
        <v>0.2205419079779135</v>
      </c>
      <c r="G18" s="173">
        <f t="shared" si="13"/>
        <v>0.218827317012039</v>
      </c>
      <c r="H18" s="173">
        <f>H17/H13</f>
        <v>0.2171299889868604</v>
      </c>
      <c r="I18" s="173">
        <f t="shared" si="13"/>
        <v>0.21517393791105943</v>
      </c>
      <c r="J18" s="173">
        <f t="shared" si="13"/>
        <v>0.2136077656524747</v>
      </c>
      <c r="K18" s="174">
        <f t="shared" si="13"/>
        <v>0.2122950835663336</v>
      </c>
      <c r="L18" s="173">
        <f t="shared" si="13"/>
        <v>0.21049886986840954</v>
      </c>
      <c r="M18" s="174">
        <f t="shared" si="13"/>
        <v>0.2098754773613955</v>
      </c>
      <c r="N18" s="175">
        <f t="shared" si="13"/>
        <v>0.2098754773613955</v>
      </c>
      <c r="O18" s="175">
        <f t="shared" si="13"/>
        <v>0.20567796781416758</v>
      </c>
      <c r="P18" s="176">
        <f t="shared" si="13"/>
        <v>0.1974508491016009</v>
      </c>
      <c r="Q18" s="177">
        <f t="shared" si="13"/>
        <v>0.18955281513753686</v>
      </c>
      <c r="R18" s="175">
        <f t="shared" si="13"/>
        <v>0.18197070253203537</v>
      </c>
      <c r="S18" s="177">
        <f>S17/S13</f>
        <v>0.17469187443075396</v>
      </c>
      <c r="T18" s="175">
        <f aca="true" t="shared" si="14" ref="T18:W18">T17/T13</f>
        <v>0.1677041994535238</v>
      </c>
      <c r="U18" s="175">
        <f t="shared" si="14"/>
        <v>0.16099603147538283</v>
      </c>
      <c r="V18" s="175">
        <f t="shared" si="14"/>
        <v>0.15455619021636752</v>
      </c>
      <c r="W18" s="176">
        <f t="shared" si="14"/>
        <v>0.1483739426077128</v>
      </c>
    </row>
    <row r="19" spans="1:23" ht="15" customHeight="1">
      <c r="A19" s="178" t="s">
        <v>67</v>
      </c>
      <c r="B19" s="179"/>
      <c r="C19" s="156"/>
      <c r="D19" s="156"/>
      <c r="E19" s="180">
        <f>'Update Scenarios'!D28</f>
        <v>-0.04</v>
      </c>
      <c r="F19" s="181">
        <v>0.62</v>
      </c>
      <c r="G19" s="182">
        <v>0.61</v>
      </c>
      <c r="H19" s="182">
        <v>0.61</v>
      </c>
      <c r="I19" s="182">
        <v>0.61</v>
      </c>
      <c r="J19" s="182">
        <v>0.6</v>
      </c>
      <c r="K19" s="183">
        <v>0.6</v>
      </c>
      <c r="L19" s="182">
        <v>0.6</v>
      </c>
      <c r="M19" s="183">
        <v>0.59</v>
      </c>
      <c r="N19" s="184">
        <v>0.59</v>
      </c>
      <c r="O19" s="184">
        <v>0.58</v>
      </c>
      <c r="P19" s="185">
        <v>0.57</v>
      </c>
      <c r="Q19" s="186">
        <v>0.55</v>
      </c>
      <c r="R19" s="184">
        <v>0.53</v>
      </c>
      <c r="S19" s="186">
        <f>R19*(1+$E19)</f>
        <v>0.5088</v>
      </c>
      <c r="T19" s="184">
        <f aca="true" t="shared" si="15" ref="T19:W25">S19*(1+$E19)</f>
        <v>0.488448</v>
      </c>
      <c r="U19" s="184">
        <f t="shared" si="15"/>
        <v>0.46891007999999995</v>
      </c>
      <c r="V19" s="184">
        <f t="shared" si="15"/>
        <v>0.45015367679999996</v>
      </c>
      <c r="W19" s="185">
        <f t="shared" si="15"/>
        <v>0.43214752972799997</v>
      </c>
    </row>
    <row r="20" ht="15" customHeight="1"/>
    <row r="21" ht="15" customHeight="1"/>
    <row r="22" ht="30" customHeight="1">
      <c r="A22" s="150" t="s">
        <v>68</v>
      </c>
    </row>
    <row r="23" ht="15" customHeight="1"/>
    <row r="24" spans="1:23" ht="30" customHeight="1">
      <c r="A24" s="151" t="s">
        <v>69</v>
      </c>
      <c r="B24" s="153" t="s">
        <v>70</v>
      </c>
      <c r="C24" s="154" t="s">
        <v>71</v>
      </c>
      <c r="D24" s="152" t="s">
        <v>72</v>
      </c>
      <c r="E24" s="154" t="s">
        <v>73</v>
      </c>
      <c r="F24" s="153">
        <v>2013</v>
      </c>
      <c r="G24" s="152">
        <v>2014</v>
      </c>
      <c r="H24" s="152">
        <v>2015</v>
      </c>
      <c r="I24" s="152">
        <v>2016</v>
      </c>
      <c r="J24" s="152">
        <v>2017</v>
      </c>
      <c r="K24" s="152">
        <v>2018</v>
      </c>
      <c r="L24" s="152">
        <v>2019</v>
      </c>
      <c r="M24" s="152">
        <v>2020</v>
      </c>
      <c r="N24" s="152">
        <v>2021</v>
      </c>
      <c r="O24" s="152">
        <v>2022</v>
      </c>
      <c r="P24" s="152">
        <v>2023</v>
      </c>
      <c r="Q24" s="153">
        <v>2024</v>
      </c>
      <c r="R24" s="154">
        <v>2025</v>
      </c>
      <c r="S24" s="152">
        <v>2026</v>
      </c>
      <c r="T24" s="152">
        <v>2027</v>
      </c>
      <c r="U24" s="152">
        <v>2028</v>
      </c>
      <c r="V24" s="152">
        <v>2029</v>
      </c>
      <c r="W24" s="154">
        <v>2030</v>
      </c>
    </row>
    <row r="25" spans="1:24" ht="15" customHeight="1">
      <c r="A25" s="155" t="s">
        <v>74</v>
      </c>
      <c r="B25" s="187">
        <v>-0.06</v>
      </c>
      <c r="C25" s="188">
        <v>-0.02</v>
      </c>
      <c r="D25" s="189">
        <f aca="true" t="shared" si="16" ref="D25:D88">C25</f>
        <v>-0.02</v>
      </c>
      <c r="E25" s="188">
        <f aca="true" t="shared" si="17" ref="E25:E88">C25</f>
        <v>-0.02</v>
      </c>
      <c r="F25" s="159">
        <f aca="true" t="shared" si="18" ref="F25:I37">G25/(1+$B25)</f>
        <v>125.52050021302625</v>
      </c>
      <c r="G25" s="160">
        <f>H25/(1+$B25)</f>
        <v>117.98927020024468</v>
      </c>
      <c r="H25" s="160">
        <f>I25/(1+$B25)</f>
        <v>110.90991398822999</v>
      </c>
      <c r="I25" s="160">
        <f>J25/(1+$B25)</f>
        <v>104.25531914893618</v>
      </c>
      <c r="J25" s="168">
        <v>98</v>
      </c>
      <c r="K25" s="168">
        <f>0.975*J25</f>
        <v>95.55</v>
      </c>
      <c r="L25" s="190">
        <f>0.975*K25</f>
        <v>93.16125</v>
      </c>
      <c r="M25" s="160">
        <f aca="true" t="shared" si="19" ref="M25:P41">L25*(1+$C25)</f>
        <v>91.298025</v>
      </c>
      <c r="N25" s="160">
        <f t="shared" si="19"/>
        <v>89.47206449999999</v>
      </c>
      <c r="O25" s="168">
        <f t="shared" si="19"/>
        <v>87.68262320999999</v>
      </c>
      <c r="P25" s="168">
        <f t="shared" si="19"/>
        <v>85.92897074579999</v>
      </c>
      <c r="Q25" s="170">
        <f aca="true" t="shared" si="20" ref="Q25:R41">P25*(1+$D25)</f>
        <v>84.21039133088398</v>
      </c>
      <c r="R25" s="169">
        <f>Q25*(1+$D25)</f>
        <v>82.5261835042663</v>
      </c>
      <c r="S25" s="168">
        <f aca="true" t="shared" si="21" ref="S25:W41">R25*(1+$E25)</f>
        <v>80.87565983418096</v>
      </c>
      <c r="T25" s="168">
        <f t="shared" si="15"/>
        <v>79.25814663749735</v>
      </c>
      <c r="U25" s="168">
        <f t="shared" si="15"/>
        <v>77.6729837047474</v>
      </c>
      <c r="V25" s="168">
        <f t="shared" si="15"/>
        <v>76.11952403065244</v>
      </c>
      <c r="W25" s="169">
        <f t="shared" si="15"/>
        <v>74.59713355003939</v>
      </c>
      <c r="X25" s="142" t="s">
        <v>75</v>
      </c>
    </row>
    <row r="26" spans="1:24" ht="15" customHeight="1">
      <c r="A26" s="155" t="s">
        <v>76</v>
      </c>
      <c r="B26" s="187">
        <v>-0.02</v>
      </c>
      <c r="C26" s="188">
        <v>0</v>
      </c>
      <c r="D26" s="189">
        <f t="shared" si="16"/>
        <v>0</v>
      </c>
      <c r="E26" s="188">
        <f t="shared" si="17"/>
        <v>0</v>
      </c>
      <c r="F26" s="159">
        <f t="shared" si="18"/>
        <v>130.09989416807275</v>
      </c>
      <c r="G26" s="160">
        <f t="shared" si="18"/>
        <v>127.4978962847113</v>
      </c>
      <c r="H26" s="160">
        <f t="shared" si="18"/>
        <v>124.94793835901707</v>
      </c>
      <c r="I26" s="160">
        <f t="shared" si="18"/>
        <v>122.44897959183673</v>
      </c>
      <c r="J26" s="168">
        <v>120</v>
      </c>
      <c r="K26" s="168">
        <v>120</v>
      </c>
      <c r="L26" s="190">
        <v>120</v>
      </c>
      <c r="M26" s="160">
        <f t="shared" si="19"/>
        <v>120</v>
      </c>
      <c r="N26" s="160">
        <f t="shared" si="19"/>
        <v>120</v>
      </c>
      <c r="O26" s="168">
        <f t="shared" si="19"/>
        <v>120</v>
      </c>
      <c r="P26" s="168">
        <f t="shared" si="19"/>
        <v>120</v>
      </c>
      <c r="Q26" s="170">
        <f t="shared" si="20"/>
        <v>120</v>
      </c>
      <c r="R26" s="169">
        <f t="shared" si="20"/>
        <v>120</v>
      </c>
      <c r="S26" s="168">
        <f t="shared" si="21"/>
        <v>120</v>
      </c>
      <c r="T26" s="168">
        <f t="shared" si="21"/>
        <v>120</v>
      </c>
      <c r="U26" s="168">
        <f t="shared" si="21"/>
        <v>120</v>
      </c>
      <c r="V26" s="168">
        <f t="shared" si="21"/>
        <v>120</v>
      </c>
      <c r="W26" s="169">
        <f t="shared" si="21"/>
        <v>120</v>
      </c>
      <c r="X26" s="142" t="s">
        <v>77</v>
      </c>
    </row>
    <row r="27" spans="1:24" ht="15" customHeight="1">
      <c r="A27" s="155" t="s">
        <v>78</v>
      </c>
      <c r="B27" s="187">
        <v>-0.02</v>
      </c>
      <c r="C27" s="188">
        <v>0</v>
      </c>
      <c r="D27" s="189">
        <f t="shared" si="16"/>
        <v>0</v>
      </c>
      <c r="E27" s="188">
        <f t="shared" si="17"/>
        <v>0</v>
      </c>
      <c r="F27" s="159">
        <f t="shared" si="18"/>
        <v>175.63485712689825</v>
      </c>
      <c r="G27" s="160">
        <f t="shared" si="18"/>
        <v>172.12215998436028</v>
      </c>
      <c r="H27" s="160">
        <f t="shared" si="18"/>
        <v>168.67971678467308</v>
      </c>
      <c r="I27" s="160">
        <f t="shared" si="18"/>
        <v>165.3061224489796</v>
      </c>
      <c r="J27" s="168">
        <v>162</v>
      </c>
      <c r="K27" s="168">
        <v>162</v>
      </c>
      <c r="L27" s="190">
        <v>162</v>
      </c>
      <c r="M27" s="160">
        <f t="shared" si="19"/>
        <v>162</v>
      </c>
      <c r="N27" s="160">
        <f t="shared" si="19"/>
        <v>162</v>
      </c>
      <c r="O27" s="168">
        <f t="shared" si="19"/>
        <v>162</v>
      </c>
      <c r="P27" s="168">
        <f t="shared" si="19"/>
        <v>162</v>
      </c>
      <c r="Q27" s="170">
        <f t="shared" si="20"/>
        <v>162</v>
      </c>
      <c r="R27" s="169">
        <f t="shared" si="20"/>
        <v>162</v>
      </c>
      <c r="S27" s="168">
        <f t="shared" si="21"/>
        <v>162</v>
      </c>
      <c r="T27" s="168">
        <f t="shared" si="21"/>
        <v>162</v>
      </c>
      <c r="U27" s="168">
        <f t="shared" si="21"/>
        <v>162</v>
      </c>
      <c r="V27" s="168">
        <f t="shared" si="21"/>
        <v>162</v>
      </c>
      <c r="W27" s="169">
        <f t="shared" si="21"/>
        <v>162</v>
      </c>
      <c r="X27" s="142" t="s">
        <v>75</v>
      </c>
    </row>
    <row r="28" spans="1:24" ht="15" customHeight="1">
      <c r="A28" s="155" t="s">
        <v>79</v>
      </c>
      <c r="B28" s="187">
        <v>0</v>
      </c>
      <c r="C28" s="188">
        <v>0</v>
      </c>
      <c r="D28" s="189">
        <f t="shared" si="16"/>
        <v>0</v>
      </c>
      <c r="E28" s="188">
        <f t="shared" si="17"/>
        <v>0</v>
      </c>
      <c r="F28" s="159">
        <f t="shared" si="18"/>
        <v>94</v>
      </c>
      <c r="G28" s="160">
        <f t="shared" si="18"/>
        <v>94</v>
      </c>
      <c r="H28" s="160">
        <f t="shared" si="18"/>
        <v>94</v>
      </c>
      <c r="I28" s="160">
        <f t="shared" si="18"/>
        <v>94</v>
      </c>
      <c r="J28" s="168">
        <v>94</v>
      </c>
      <c r="K28" s="168">
        <v>94</v>
      </c>
      <c r="L28" s="190">
        <v>94</v>
      </c>
      <c r="M28" s="160">
        <f t="shared" si="19"/>
        <v>94</v>
      </c>
      <c r="N28" s="160">
        <f t="shared" si="19"/>
        <v>94</v>
      </c>
      <c r="O28" s="168">
        <f t="shared" si="19"/>
        <v>94</v>
      </c>
      <c r="P28" s="168">
        <f t="shared" si="19"/>
        <v>94</v>
      </c>
      <c r="Q28" s="170">
        <f t="shared" si="20"/>
        <v>94</v>
      </c>
      <c r="R28" s="169">
        <f>Q28*(1+$D28)</f>
        <v>94</v>
      </c>
      <c r="S28" s="168">
        <f t="shared" si="21"/>
        <v>94</v>
      </c>
      <c r="T28" s="168">
        <f t="shared" si="21"/>
        <v>94</v>
      </c>
      <c r="U28" s="168">
        <f t="shared" si="21"/>
        <v>94</v>
      </c>
      <c r="V28" s="168">
        <f t="shared" si="21"/>
        <v>94</v>
      </c>
      <c r="W28" s="169">
        <f t="shared" si="21"/>
        <v>94</v>
      </c>
      <c r="X28" s="142" t="s">
        <v>80</v>
      </c>
    </row>
    <row r="29" spans="1:24" ht="15" customHeight="1">
      <c r="A29" s="155" t="s">
        <v>81</v>
      </c>
      <c r="B29" s="187">
        <v>0.06</v>
      </c>
      <c r="C29" s="188">
        <v>0.02</v>
      </c>
      <c r="D29" s="189">
        <f t="shared" si="16"/>
        <v>0.02</v>
      </c>
      <c r="E29" s="188">
        <f t="shared" si="17"/>
        <v>0.02</v>
      </c>
      <c r="F29" s="159">
        <f t="shared" si="18"/>
        <v>158.4187326476041</v>
      </c>
      <c r="G29" s="160">
        <f t="shared" si="18"/>
        <v>167.92385660646033</v>
      </c>
      <c r="H29" s="168">
        <f t="shared" si="18"/>
        <v>177.99928800284798</v>
      </c>
      <c r="I29" s="168">
        <f t="shared" si="18"/>
        <v>188.67924528301887</v>
      </c>
      <c r="J29" s="168">
        <v>200</v>
      </c>
      <c r="K29" s="168">
        <f>1.055*J29</f>
        <v>211</v>
      </c>
      <c r="L29" s="190">
        <v>221</v>
      </c>
      <c r="M29" s="160">
        <f t="shared" si="19"/>
        <v>225.42000000000002</v>
      </c>
      <c r="N29" s="160">
        <f t="shared" si="19"/>
        <v>229.9284</v>
      </c>
      <c r="O29" s="168">
        <f t="shared" si="19"/>
        <v>234.526968</v>
      </c>
      <c r="P29" s="168">
        <f t="shared" si="19"/>
        <v>239.21750736</v>
      </c>
      <c r="Q29" s="170">
        <f t="shared" si="20"/>
        <v>244.00185750720001</v>
      </c>
      <c r="R29" s="169">
        <f t="shared" si="20"/>
        <v>248.88189465734402</v>
      </c>
      <c r="S29" s="168">
        <f t="shared" si="21"/>
        <v>253.8595325504909</v>
      </c>
      <c r="T29" s="168">
        <f t="shared" si="21"/>
        <v>258.93672320150074</v>
      </c>
      <c r="U29" s="168">
        <f t="shared" si="21"/>
        <v>264.11545766553076</v>
      </c>
      <c r="V29" s="168">
        <f t="shared" si="21"/>
        <v>269.3977668188414</v>
      </c>
      <c r="W29" s="169">
        <f t="shared" si="21"/>
        <v>274.7857221552182</v>
      </c>
      <c r="X29" s="142" t="s">
        <v>82</v>
      </c>
    </row>
    <row r="30" spans="1:24" ht="15" customHeight="1">
      <c r="A30" s="155" t="s">
        <v>30</v>
      </c>
      <c r="B30" s="187">
        <v>0.07</v>
      </c>
      <c r="C30" s="188">
        <v>0.035</v>
      </c>
      <c r="D30" s="189">
        <f t="shared" si="16"/>
        <v>0.035</v>
      </c>
      <c r="E30" s="191">
        <f>'Update Scenarios'!D7</f>
        <v>0.02</v>
      </c>
      <c r="F30" s="159">
        <f t="shared" si="18"/>
        <v>1117.6414856496242</v>
      </c>
      <c r="G30" s="160">
        <f t="shared" si="18"/>
        <v>1195.876389645098</v>
      </c>
      <c r="H30" s="160">
        <f t="shared" si="18"/>
        <v>1279.5877369202549</v>
      </c>
      <c r="I30" s="160">
        <f t="shared" si="18"/>
        <v>1369.1588785046729</v>
      </c>
      <c r="J30" s="168">
        <v>1465</v>
      </c>
      <c r="K30" s="168">
        <v>1403</v>
      </c>
      <c r="L30" s="190">
        <v>1371</v>
      </c>
      <c r="M30" s="171">
        <v>1292</v>
      </c>
      <c r="N30" s="160">
        <f t="shared" si="19"/>
        <v>1337.2199999999998</v>
      </c>
      <c r="O30" s="168">
        <f t="shared" si="19"/>
        <v>1384.0226999999998</v>
      </c>
      <c r="P30" s="168">
        <f t="shared" si="19"/>
        <v>1432.4634944999996</v>
      </c>
      <c r="Q30" s="170">
        <f t="shared" si="20"/>
        <v>1482.5997168074994</v>
      </c>
      <c r="R30" s="169">
        <f t="shared" si="20"/>
        <v>1534.4907068957618</v>
      </c>
      <c r="S30" s="168">
        <f t="shared" si="21"/>
        <v>1565.180521033677</v>
      </c>
      <c r="T30" s="168">
        <f t="shared" si="21"/>
        <v>1596.4841314543505</v>
      </c>
      <c r="U30" s="168">
        <f t="shared" si="21"/>
        <v>1628.4138140834375</v>
      </c>
      <c r="V30" s="168">
        <f t="shared" si="21"/>
        <v>1660.9820903651064</v>
      </c>
      <c r="W30" s="169">
        <f t="shared" si="21"/>
        <v>1694.2017321724086</v>
      </c>
      <c r="X30" s="142" t="s">
        <v>83</v>
      </c>
    </row>
    <row r="31" spans="1:24" ht="15" customHeight="1">
      <c r="A31" s="155" t="s">
        <v>84</v>
      </c>
      <c r="B31" s="187">
        <v>-0.06</v>
      </c>
      <c r="C31" s="188">
        <v>-0.03</v>
      </c>
      <c r="D31" s="189">
        <f t="shared" si="16"/>
        <v>-0.03</v>
      </c>
      <c r="E31" s="188">
        <f t="shared" si="17"/>
        <v>-0.03</v>
      </c>
      <c r="F31" s="159">
        <f t="shared" si="18"/>
        <v>204.93142891922653</v>
      </c>
      <c r="G31" s="160">
        <f t="shared" si="18"/>
        <v>192.63554318407293</v>
      </c>
      <c r="H31" s="160">
        <f t="shared" si="18"/>
        <v>181.07741059302853</v>
      </c>
      <c r="I31" s="160">
        <f t="shared" si="18"/>
        <v>170.2127659574468</v>
      </c>
      <c r="J31" s="168">
        <v>160</v>
      </c>
      <c r="K31" s="168">
        <v>150</v>
      </c>
      <c r="L31" s="190">
        <v>145</v>
      </c>
      <c r="M31" s="160">
        <f t="shared" si="19"/>
        <v>140.65</v>
      </c>
      <c r="N31" s="160">
        <f t="shared" si="19"/>
        <v>136.4305</v>
      </c>
      <c r="O31" s="168">
        <f t="shared" si="19"/>
        <v>132.337585</v>
      </c>
      <c r="P31" s="168">
        <f t="shared" si="19"/>
        <v>128.36745745</v>
      </c>
      <c r="Q31" s="170">
        <f t="shared" si="20"/>
        <v>124.51643372649998</v>
      </c>
      <c r="R31" s="169">
        <f t="shared" si="20"/>
        <v>120.78094071470498</v>
      </c>
      <c r="S31" s="168">
        <f t="shared" si="21"/>
        <v>117.15751249326382</v>
      </c>
      <c r="T31" s="168">
        <f t="shared" si="21"/>
        <v>113.6427871184659</v>
      </c>
      <c r="U31" s="168">
        <f t="shared" si="21"/>
        <v>110.23350350491192</v>
      </c>
      <c r="V31" s="168">
        <f t="shared" si="21"/>
        <v>106.92649839976457</v>
      </c>
      <c r="W31" s="169">
        <f t="shared" si="21"/>
        <v>103.71870344777163</v>
      </c>
      <c r="X31" s="142" t="s">
        <v>85</v>
      </c>
    </row>
    <row r="32" spans="1:24" ht="15" customHeight="1">
      <c r="A32" s="155" t="s">
        <v>86</v>
      </c>
      <c r="B32" s="187">
        <v>-0.12</v>
      </c>
      <c r="C32" s="188">
        <v>-0.14</v>
      </c>
      <c r="D32" s="189">
        <f t="shared" si="16"/>
        <v>-0.14</v>
      </c>
      <c r="E32" s="188">
        <f t="shared" si="17"/>
        <v>-0.14</v>
      </c>
      <c r="F32" s="159">
        <f t="shared" si="18"/>
        <v>833.7566593811897</v>
      </c>
      <c r="G32" s="160">
        <f t="shared" si="18"/>
        <v>733.705860255447</v>
      </c>
      <c r="H32" s="160">
        <f t="shared" si="18"/>
        <v>645.6611570247933</v>
      </c>
      <c r="I32" s="160">
        <f t="shared" si="18"/>
        <v>568.1818181818181</v>
      </c>
      <c r="J32" s="168">
        <v>500</v>
      </c>
      <c r="K32" s="168">
        <f>1890-K30</f>
        <v>487</v>
      </c>
      <c r="L32" s="190">
        <f>1790-L30</f>
        <v>419</v>
      </c>
      <c r="M32" s="160">
        <f t="shared" si="19"/>
        <v>360.34</v>
      </c>
      <c r="N32" s="160">
        <f t="shared" si="19"/>
        <v>309.89239999999995</v>
      </c>
      <c r="O32" s="168">
        <f t="shared" si="19"/>
        <v>266.50746399999997</v>
      </c>
      <c r="P32" s="168">
        <f t="shared" si="19"/>
        <v>229.19641903999997</v>
      </c>
      <c r="Q32" s="170">
        <f t="shared" si="20"/>
        <v>197.10892037439996</v>
      </c>
      <c r="R32" s="169">
        <f t="shared" si="20"/>
        <v>169.51367152198395</v>
      </c>
      <c r="S32" s="168">
        <f t="shared" si="21"/>
        <v>145.7817575089062</v>
      </c>
      <c r="T32" s="168">
        <f t="shared" si="21"/>
        <v>125.37231145765932</v>
      </c>
      <c r="U32" s="168">
        <f t="shared" si="21"/>
        <v>107.82018785358702</v>
      </c>
      <c r="V32" s="168">
        <f t="shared" si="21"/>
        <v>92.72536155408483</v>
      </c>
      <c r="W32" s="169">
        <f t="shared" si="21"/>
        <v>79.74381093651294</v>
      </c>
      <c r="X32" s="142" t="s">
        <v>87</v>
      </c>
    </row>
    <row r="33" spans="1:24" ht="15" customHeight="1">
      <c r="A33" s="155" t="s">
        <v>88</v>
      </c>
      <c r="B33" s="187">
        <v>0.23</v>
      </c>
      <c r="C33" s="192">
        <v>0.22</v>
      </c>
      <c r="D33" s="189">
        <f t="shared" si="16"/>
        <v>0.22</v>
      </c>
      <c r="E33" s="188">
        <f t="shared" si="17"/>
        <v>0.22</v>
      </c>
      <c r="F33" s="159">
        <f t="shared" si="18"/>
        <v>458.74236932857957</v>
      </c>
      <c r="G33" s="160">
        <f t="shared" si="18"/>
        <v>564.2531142741528</v>
      </c>
      <c r="H33" s="168">
        <f t="shared" si="18"/>
        <v>694.031330557208</v>
      </c>
      <c r="I33" s="168">
        <f t="shared" si="18"/>
        <v>853.6585365853658</v>
      </c>
      <c r="J33" s="168">
        <v>1050</v>
      </c>
      <c r="K33" s="168">
        <v>1200</v>
      </c>
      <c r="L33" s="190">
        <v>1400</v>
      </c>
      <c r="M33" s="168">
        <f t="shared" si="19"/>
        <v>1708</v>
      </c>
      <c r="N33" s="160">
        <f t="shared" si="19"/>
        <v>2083.7599999999998</v>
      </c>
      <c r="O33" s="168">
        <f t="shared" si="19"/>
        <v>2542.1872</v>
      </c>
      <c r="P33" s="168">
        <f t="shared" si="19"/>
        <v>3101.468384</v>
      </c>
      <c r="Q33" s="170">
        <f t="shared" si="20"/>
        <v>3783.7914284799995</v>
      </c>
      <c r="R33" s="169">
        <f t="shared" si="20"/>
        <v>4616.225542745599</v>
      </c>
      <c r="S33" s="168">
        <f t="shared" si="21"/>
        <v>5631.795162149631</v>
      </c>
      <c r="T33" s="168">
        <f t="shared" si="21"/>
        <v>6870.79009782255</v>
      </c>
      <c r="U33" s="168">
        <f t="shared" si="21"/>
        <v>8382.36391934351</v>
      </c>
      <c r="V33" s="168">
        <f t="shared" si="21"/>
        <v>10226.483981599082</v>
      </c>
      <c r="W33" s="169">
        <f t="shared" si="21"/>
        <v>12476.310457550879</v>
      </c>
      <c r="X33" s="142" t="s">
        <v>89</v>
      </c>
    </row>
    <row r="34" spans="1:24" ht="15" customHeight="1">
      <c r="A34" s="155" t="s">
        <v>90</v>
      </c>
      <c r="B34" s="187">
        <v>0</v>
      </c>
      <c r="C34" s="188">
        <v>0</v>
      </c>
      <c r="D34" s="189">
        <f t="shared" si="16"/>
        <v>0</v>
      </c>
      <c r="E34" s="188">
        <f t="shared" si="17"/>
        <v>0</v>
      </c>
      <c r="F34" s="159">
        <f t="shared" si="18"/>
        <v>220</v>
      </c>
      <c r="G34" s="160">
        <f t="shared" si="18"/>
        <v>220</v>
      </c>
      <c r="H34" s="160">
        <f t="shared" si="18"/>
        <v>220</v>
      </c>
      <c r="I34" s="193">
        <f t="shared" si="18"/>
        <v>220</v>
      </c>
      <c r="J34" s="194">
        <v>220</v>
      </c>
      <c r="K34" s="194">
        <v>225</v>
      </c>
      <c r="L34" s="190">
        <v>230</v>
      </c>
      <c r="M34" s="160">
        <f t="shared" si="19"/>
        <v>230</v>
      </c>
      <c r="N34" s="160">
        <f t="shared" si="19"/>
        <v>230</v>
      </c>
      <c r="O34" s="168">
        <f t="shared" si="19"/>
        <v>230</v>
      </c>
      <c r="P34" s="168">
        <f t="shared" si="19"/>
        <v>230</v>
      </c>
      <c r="Q34" s="170">
        <f t="shared" si="20"/>
        <v>230</v>
      </c>
      <c r="R34" s="169">
        <f t="shared" si="20"/>
        <v>230</v>
      </c>
      <c r="S34" s="168">
        <f t="shared" si="21"/>
        <v>230</v>
      </c>
      <c r="T34" s="168">
        <f t="shared" si="21"/>
        <v>230</v>
      </c>
      <c r="U34" s="168">
        <f t="shared" si="21"/>
        <v>230</v>
      </c>
      <c r="V34" s="168">
        <f t="shared" si="21"/>
        <v>230</v>
      </c>
      <c r="W34" s="169">
        <f t="shared" si="21"/>
        <v>230</v>
      </c>
      <c r="X34" s="142" t="s">
        <v>91</v>
      </c>
    </row>
    <row r="35" spans="1:24" ht="15" customHeight="1">
      <c r="A35" s="155" t="s">
        <v>92</v>
      </c>
      <c r="B35" s="187">
        <v>0.12</v>
      </c>
      <c r="C35" s="188">
        <v>0.04</v>
      </c>
      <c r="D35" s="189">
        <f t="shared" si="16"/>
        <v>0.04</v>
      </c>
      <c r="E35" s="188">
        <f t="shared" si="17"/>
        <v>0.04</v>
      </c>
      <c r="F35" s="159">
        <f t="shared" si="18"/>
        <v>121.38395297532274</v>
      </c>
      <c r="G35" s="160">
        <f t="shared" si="18"/>
        <v>135.9500273323615</v>
      </c>
      <c r="H35" s="160">
        <f t="shared" si="18"/>
        <v>152.26403061224488</v>
      </c>
      <c r="I35" s="160">
        <f t="shared" si="18"/>
        <v>170.53571428571428</v>
      </c>
      <c r="J35" s="168">
        <v>191</v>
      </c>
      <c r="K35" s="168">
        <f>L35/1.12</f>
        <v>214.28571428571428</v>
      </c>
      <c r="L35" s="190">
        <v>240</v>
      </c>
      <c r="M35" s="160">
        <f t="shared" si="19"/>
        <v>249.60000000000002</v>
      </c>
      <c r="N35" s="160">
        <f t="shared" si="19"/>
        <v>259.58400000000006</v>
      </c>
      <c r="O35" s="168">
        <f t="shared" si="19"/>
        <v>269.9673600000001</v>
      </c>
      <c r="P35" s="168">
        <f t="shared" si="19"/>
        <v>280.7660544000001</v>
      </c>
      <c r="Q35" s="170">
        <f t="shared" si="20"/>
        <v>291.9966965760001</v>
      </c>
      <c r="R35" s="169">
        <f t="shared" si="20"/>
        <v>303.6765644390401</v>
      </c>
      <c r="S35" s="168">
        <f t="shared" si="21"/>
        <v>315.8236270166017</v>
      </c>
      <c r="T35" s="168">
        <f t="shared" si="21"/>
        <v>328.45657209726573</v>
      </c>
      <c r="U35" s="168">
        <f t="shared" si="21"/>
        <v>341.5948349811564</v>
      </c>
      <c r="V35" s="168">
        <f t="shared" si="21"/>
        <v>355.2586283804027</v>
      </c>
      <c r="W35" s="169">
        <f t="shared" si="21"/>
        <v>369.4689735156188</v>
      </c>
      <c r="X35" s="142" t="s">
        <v>93</v>
      </c>
    </row>
    <row r="36" spans="1:24" ht="15" customHeight="1">
      <c r="A36" s="155" t="s">
        <v>94</v>
      </c>
      <c r="B36" s="187">
        <v>0.01</v>
      </c>
      <c r="C36" s="188">
        <v>0.05</v>
      </c>
      <c r="D36" s="189">
        <f t="shared" si="16"/>
        <v>0.05</v>
      </c>
      <c r="E36" s="188">
        <f t="shared" si="17"/>
        <v>0.05</v>
      </c>
      <c r="F36" s="159">
        <f t="shared" si="18"/>
        <v>37.08182904273067</v>
      </c>
      <c r="G36" s="160">
        <f t="shared" si="18"/>
        <v>37.45264733315798</v>
      </c>
      <c r="H36" s="160">
        <f t="shared" si="18"/>
        <v>37.827173806489554</v>
      </c>
      <c r="I36" s="160">
        <f t="shared" si="18"/>
        <v>38.20544554455445</v>
      </c>
      <c r="J36" s="168">
        <v>38.5875</v>
      </c>
      <c r="K36" s="168">
        <v>42</v>
      </c>
      <c r="L36" s="190">
        <v>37</v>
      </c>
      <c r="M36" s="160">
        <f t="shared" si="19"/>
        <v>38.85</v>
      </c>
      <c r="N36" s="160">
        <f t="shared" si="19"/>
        <v>40.792500000000004</v>
      </c>
      <c r="O36" s="168">
        <f t="shared" si="19"/>
        <v>42.832125000000005</v>
      </c>
      <c r="P36" s="168">
        <f t="shared" si="19"/>
        <v>44.97373125000001</v>
      </c>
      <c r="Q36" s="170">
        <f t="shared" si="20"/>
        <v>47.22241781250001</v>
      </c>
      <c r="R36" s="169">
        <f t="shared" si="20"/>
        <v>49.583538703125015</v>
      </c>
      <c r="S36" s="168">
        <f t="shared" si="21"/>
        <v>52.06271563828127</v>
      </c>
      <c r="T36" s="168">
        <f t="shared" si="21"/>
        <v>54.66585142019533</v>
      </c>
      <c r="U36" s="168">
        <f t="shared" si="21"/>
        <v>57.3991439912051</v>
      </c>
      <c r="V36" s="168">
        <f t="shared" si="21"/>
        <v>60.26910119076536</v>
      </c>
      <c r="W36" s="169">
        <f t="shared" si="21"/>
        <v>63.282556250303635</v>
      </c>
      <c r="X36" s="142" t="s">
        <v>95</v>
      </c>
    </row>
    <row r="37" spans="1:24" ht="14.5">
      <c r="A37" s="155" t="s">
        <v>96</v>
      </c>
      <c r="B37" s="187">
        <v>0</v>
      </c>
      <c r="C37" s="188">
        <v>0</v>
      </c>
      <c r="D37" s="189">
        <f t="shared" si="16"/>
        <v>0</v>
      </c>
      <c r="E37" s="188">
        <f t="shared" si="17"/>
        <v>0</v>
      </c>
      <c r="F37" s="159">
        <f t="shared" si="18"/>
        <v>70</v>
      </c>
      <c r="G37" s="160">
        <f t="shared" si="18"/>
        <v>70</v>
      </c>
      <c r="H37" s="160">
        <f t="shared" si="18"/>
        <v>70</v>
      </c>
      <c r="I37" s="160">
        <f t="shared" si="18"/>
        <v>70</v>
      </c>
      <c r="J37" s="168">
        <v>70</v>
      </c>
      <c r="K37" s="168">
        <v>70</v>
      </c>
      <c r="L37" s="190">
        <v>70</v>
      </c>
      <c r="M37" s="160">
        <f t="shared" si="19"/>
        <v>70</v>
      </c>
      <c r="N37" s="160">
        <f t="shared" si="19"/>
        <v>70</v>
      </c>
      <c r="O37" s="168">
        <f t="shared" si="19"/>
        <v>70</v>
      </c>
      <c r="P37" s="168">
        <f t="shared" si="19"/>
        <v>70</v>
      </c>
      <c r="Q37" s="170">
        <f t="shared" si="20"/>
        <v>70</v>
      </c>
      <c r="R37" s="169">
        <f t="shared" si="20"/>
        <v>70</v>
      </c>
      <c r="S37" s="168">
        <f t="shared" si="21"/>
        <v>70</v>
      </c>
      <c r="T37" s="168">
        <f t="shared" si="21"/>
        <v>70</v>
      </c>
      <c r="U37" s="168">
        <f t="shared" si="21"/>
        <v>70</v>
      </c>
      <c r="V37" s="168">
        <f t="shared" si="21"/>
        <v>70</v>
      </c>
      <c r="W37" s="169">
        <f t="shared" si="21"/>
        <v>70</v>
      </c>
      <c r="X37" s="142" t="s">
        <v>97</v>
      </c>
    </row>
    <row r="38" spans="1:24" ht="15" customHeight="1">
      <c r="A38" s="155" t="s">
        <v>5</v>
      </c>
      <c r="B38" s="187" t="s">
        <v>98</v>
      </c>
      <c r="C38" s="192">
        <v>0.67</v>
      </c>
      <c r="D38" s="189">
        <f t="shared" si="16"/>
        <v>0.67</v>
      </c>
      <c r="E38" s="191">
        <f>'Update Scenarios'!D4</f>
        <v>0.3</v>
      </c>
      <c r="F38" s="159">
        <v>0</v>
      </c>
      <c r="G38" s="160">
        <v>0</v>
      </c>
      <c r="H38" s="160">
        <v>0</v>
      </c>
      <c r="I38" s="160">
        <v>0</v>
      </c>
      <c r="J38" s="168">
        <v>2</v>
      </c>
      <c r="K38" s="168">
        <v>4</v>
      </c>
      <c r="L38" s="190">
        <v>6</v>
      </c>
      <c r="M38" s="160">
        <f t="shared" si="19"/>
        <v>10.02</v>
      </c>
      <c r="N38" s="168">
        <f t="shared" si="19"/>
        <v>16.7334</v>
      </c>
      <c r="O38" s="168">
        <f t="shared" si="19"/>
        <v>27.944778</v>
      </c>
      <c r="P38" s="168">
        <f t="shared" si="19"/>
        <v>46.667779259999996</v>
      </c>
      <c r="Q38" s="170">
        <f t="shared" si="20"/>
        <v>77.9351913642</v>
      </c>
      <c r="R38" s="169">
        <f t="shared" si="20"/>
        <v>130.151769578214</v>
      </c>
      <c r="S38" s="168">
        <f t="shared" si="21"/>
        <v>169.1973004516782</v>
      </c>
      <c r="T38" s="168">
        <f t="shared" si="21"/>
        <v>219.95649058718166</v>
      </c>
      <c r="U38" s="168">
        <f t="shared" si="21"/>
        <v>285.9434377633362</v>
      </c>
      <c r="V38" s="168">
        <f t="shared" si="21"/>
        <v>371.7264690923371</v>
      </c>
      <c r="W38" s="169">
        <f t="shared" si="21"/>
        <v>483.24440982003824</v>
      </c>
      <c r="X38" s="142" t="s">
        <v>99</v>
      </c>
    </row>
    <row r="39" spans="1:24" ht="15" customHeight="1">
      <c r="A39" s="155" t="s">
        <v>33</v>
      </c>
      <c r="B39" s="187" t="s">
        <v>98</v>
      </c>
      <c r="C39" s="192">
        <v>0.19</v>
      </c>
      <c r="D39" s="189">
        <f t="shared" si="16"/>
        <v>0.19</v>
      </c>
      <c r="E39" s="188">
        <f t="shared" si="17"/>
        <v>0.19</v>
      </c>
      <c r="F39" s="159">
        <v>0</v>
      </c>
      <c r="G39" s="160">
        <v>0</v>
      </c>
      <c r="H39" s="160">
        <v>0</v>
      </c>
      <c r="I39" s="160">
        <v>0</v>
      </c>
      <c r="J39" s="168">
        <v>80</v>
      </c>
      <c r="K39" s="168">
        <v>125</v>
      </c>
      <c r="L39" s="190">
        <v>140</v>
      </c>
      <c r="M39" s="160">
        <f t="shared" si="19"/>
        <v>166.6</v>
      </c>
      <c r="N39" s="168">
        <f t="shared" si="19"/>
        <v>198.254</v>
      </c>
      <c r="O39" s="168">
        <f t="shared" si="19"/>
        <v>235.92225999999997</v>
      </c>
      <c r="P39" s="168">
        <f t="shared" si="19"/>
        <v>280.74748939999995</v>
      </c>
      <c r="Q39" s="170">
        <f t="shared" si="20"/>
        <v>334.0895123859999</v>
      </c>
      <c r="R39" s="169">
        <f t="shared" si="20"/>
        <v>397.56651973933987</v>
      </c>
      <c r="S39" s="168">
        <f t="shared" si="21"/>
        <v>473.10415848981444</v>
      </c>
      <c r="T39" s="168">
        <f t="shared" si="21"/>
        <v>562.9939486028792</v>
      </c>
      <c r="U39" s="168">
        <f t="shared" si="21"/>
        <v>669.9627988374262</v>
      </c>
      <c r="V39" s="168">
        <f t="shared" si="21"/>
        <v>797.2557306165372</v>
      </c>
      <c r="W39" s="169">
        <f t="shared" si="21"/>
        <v>948.7343194336793</v>
      </c>
      <c r="X39" s="142" t="s">
        <v>100</v>
      </c>
    </row>
    <row r="40" spans="1:24" ht="15" customHeight="1">
      <c r="A40" s="155" t="s">
        <v>101</v>
      </c>
      <c r="B40" s="187" t="s">
        <v>98</v>
      </c>
      <c r="C40" s="192">
        <v>0.1</v>
      </c>
      <c r="D40" s="189">
        <f t="shared" si="16"/>
        <v>0.1</v>
      </c>
      <c r="E40" s="188">
        <f t="shared" si="17"/>
        <v>0.1</v>
      </c>
      <c r="F40" s="159">
        <v>0</v>
      </c>
      <c r="G40" s="160">
        <v>2.5</v>
      </c>
      <c r="H40" s="160">
        <v>2.7</v>
      </c>
      <c r="I40" s="160">
        <v>3</v>
      </c>
      <c r="J40" s="168">
        <v>3.2</v>
      </c>
      <c r="K40" s="168">
        <v>3.5</v>
      </c>
      <c r="L40" s="190">
        <v>3.8</v>
      </c>
      <c r="M40" s="160">
        <f t="shared" si="19"/>
        <v>4.18</v>
      </c>
      <c r="N40" s="168">
        <f t="shared" si="19"/>
        <v>4.598</v>
      </c>
      <c r="O40" s="168">
        <f t="shared" si="19"/>
        <v>5.0578</v>
      </c>
      <c r="P40" s="168">
        <f t="shared" si="19"/>
        <v>5.563580000000001</v>
      </c>
      <c r="Q40" s="170">
        <f t="shared" si="20"/>
        <v>6.119938000000001</v>
      </c>
      <c r="R40" s="169">
        <f t="shared" si="20"/>
        <v>6.731931800000002</v>
      </c>
      <c r="S40" s="168">
        <f t="shared" si="21"/>
        <v>7.405124980000003</v>
      </c>
      <c r="T40" s="168">
        <f t="shared" si="21"/>
        <v>8.145637478000003</v>
      </c>
      <c r="U40" s="168">
        <f t="shared" si="21"/>
        <v>8.960201225800004</v>
      </c>
      <c r="V40" s="168">
        <f t="shared" si="21"/>
        <v>9.856221348380005</v>
      </c>
      <c r="W40" s="169">
        <f t="shared" si="21"/>
        <v>10.841843483218007</v>
      </c>
      <c r="X40" s="142" t="s">
        <v>102</v>
      </c>
    </row>
    <row r="41" spans="1:24" ht="15" customHeight="1">
      <c r="A41" s="155" t="s">
        <v>16</v>
      </c>
      <c r="B41" s="195" t="s">
        <v>98</v>
      </c>
      <c r="C41" s="196">
        <v>0.26</v>
      </c>
      <c r="D41" s="189">
        <f t="shared" si="16"/>
        <v>0.26</v>
      </c>
      <c r="E41" s="188">
        <f t="shared" si="17"/>
        <v>0.26</v>
      </c>
      <c r="F41" s="159">
        <v>0</v>
      </c>
      <c r="G41" s="160">
        <v>1</v>
      </c>
      <c r="H41" s="160">
        <v>3</v>
      </c>
      <c r="I41" s="160">
        <v>5</v>
      </c>
      <c r="J41" s="168">
        <v>10</v>
      </c>
      <c r="K41" s="168">
        <v>16</v>
      </c>
      <c r="L41" s="190">
        <v>25</v>
      </c>
      <c r="M41" s="160">
        <f t="shared" si="19"/>
        <v>31.5</v>
      </c>
      <c r="N41" s="168">
        <f t="shared" si="19"/>
        <v>39.69</v>
      </c>
      <c r="O41" s="168">
        <f t="shared" si="19"/>
        <v>50.0094</v>
      </c>
      <c r="P41" s="168">
        <f t="shared" si="19"/>
        <v>63.011843999999996</v>
      </c>
      <c r="Q41" s="170">
        <f t="shared" si="20"/>
        <v>79.39492344</v>
      </c>
      <c r="R41" s="169">
        <f t="shared" si="20"/>
        <v>100.0376035344</v>
      </c>
      <c r="S41" s="168">
        <f t="shared" si="21"/>
        <v>126.047380453344</v>
      </c>
      <c r="T41" s="168">
        <f t="shared" si="21"/>
        <v>158.81969937121346</v>
      </c>
      <c r="U41" s="168">
        <f t="shared" si="21"/>
        <v>200.11282120772896</v>
      </c>
      <c r="V41" s="168">
        <f t="shared" si="21"/>
        <v>252.14215472173848</v>
      </c>
      <c r="W41" s="169">
        <f t="shared" si="21"/>
        <v>317.6991149493905</v>
      </c>
      <c r="X41" s="142" t="s">
        <v>103</v>
      </c>
    </row>
    <row r="42" spans="1:23" ht="15" customHeight="1">
      <c r="A42" s="197" t="s">
        <v>104</v>
      </c>
      <c r="B42" s="198"/>
      <c r="C42" s="199"/>
      <c r="D42" s="199"/>
      <c r="E42" s="200"/>
      <c r="F42" s="201">
        <f>SUM(F25:F41)</f>
        <v>3747.2117094522746</v>
      </c>
      <c r="G42" s="202">
        <f aca="true" t="shared" si="22" ref="G42:W42">SUM(G25:G41)</f>
        <v>3832.906765100067</v>
      </c>
      <c r="H42" s="202">
        <f t="shared" si="22"/>
        <v>3962.685696648787</v>
      </c>
      <c r="I42" s="202">
        <f t="shared" si="22"/>
        <v>4142.6428255323435</v>
      </c>
      <c r="J42" s="203">
        <f t="shared" si="22"/>
        <v>4463.787499999999</v>
      </c>
      <c r="K42" s="203">
        <f t="shared" si="22"/>
        <v>4622.335714285715</v>
      </c>
      <c r="L42" s="204">
        <f t="shared" si="22"/>
        <v>4776.96125</v>
      </c>
      <c r="M42" s="202">
        <f t="shared" si="22"/>
        <v>4994.458025000002</v>
      </c>
      <c r="N42" s="203">
        <f t="shared" si="22"/>
        <v>5422.355264499998</v>
      </c>
      <c r="O42" s="203">
        <f t="shared" si="22"/>
        <v>5954.998263209999</v>
      </c>
      <c r="P42" s="203">
        <f t="shared" si="22"/>
        <v>6614.372711405799</v>
      </c>
      <c r="Q42" s="205">
        <f t="shared" si="22"/>
        <v>7428.987427805183</v>
      </c>
      <c r="R42" s="206">
        <f t="shared" si="22"/>
        <v>8436.16686783378</v>
      </c>
      <c r="S42" s="203">
        <f t="shared" si="22"/>
        <v>9614.290452599871</v>
      </c>
      <c r="T42" s="203">
        <f t="shared" si="22"/>
        <v>11053.522397248758</v>
      </c>
      <c r="U42" s="203">
        <f t="shared" si="22"/>
        <v>12810.593104162379</v>
      </c>
      <c r="V42" s="203">
        <f t="shared" si="22"/>
        <v>14955.14352811769</v>
      </c>
      <c r="W42" s="206">
        <f t="shared" si="22"/>
        <v>17572.62877726508</v>
      </c>
    </row>
    <row r="43" spans="1:23" ht="15" customHeight="1">
      <c r="A43" s="207"/>
      <c r="B43" s="207"/>
      <c r="C43" s="207"/>
      <c r="D43" s="207"/>
      <c r="E43" s="207"/>
      <c r="F43" s="142"/>
      <c r="G43" s="142"/>
      <c r="H43" s="142"/>
      <c r="I43" s="142"/>
      <c r="J43" s="142"/>
      <c r="K43" s="142"/>
      <c r="L43" s="142"/>
      <c r="M43" s="208"/>
      <c r="N43" s="208"/>
      <c r="O43" s="208"/>
      <c r="P43" s="208"/>
      <c r="Q43" s="208"/>
      <c r="R43" s="208"/>
      <c r="S43" s="208"/>
      <c r="T43" s="208"/>
      <c r="U43" s="208"/>
      <c r="V43" s="208"/>
      <c r="W43" s="208"/>
    </row>
    <row r="44" spans="1:23" ht="15" customHeight="1" hidden="1">
      <c r="A44" s="207"/>
      <c r="B44" s="207"/>
      <c r="C44" s="207"/>
      <c r="D44" s="207"/>
      <c r="E44" s="207"/>
      <c r="F44" s="142"/>
      <c r="G44" s="142"/>
      <c r="H44" s="142"/>
      <c r="I44" s="142"/>
      <c r="J44" s="142"/>
      <c r="K44" s="142"/>
      <c r="L44" s="142"/>
      <c r="M44" s="208"/>
      <c r="N44" s="208"/>
      <c r="O44" s="208"/>
      <c r="P44" s="208"/>
      <c r="Q44" s="208"/>
      <c r="R44" s="208"/>
      <c r="S44" s="208"/>
      <c r="T44" s="208"/>
      <c r="U44" s="208"/>
      <c r="V44" s="208"/>
      <c r="W44" s="208"/>
    </row>
    <row r="45" spans="1:23" ht="25.75" customHeight="1">
      <c r="A45" s="151" t="s">
        <v>105</v>
      </c>
      <c r="B45" s="153" t="s">
        <v>70</v>
      </c>
      <c r="C45" s="154" t="s">
        <v>71</v>
      </c>
      <c r="D45" s="153" t="s">
        <v>72</v>
      </c>
      <c r="E45" s="154" t="s">
        <v>73</v>
      </c>
      <c r="F45" s="153">
        <v>2013</v>
      </c>
      <c r="G45" s="152">
        <v>2014</v>
      </c>
      <c r="H45" s="152">
        <v>2015</v>
      </c>
      <c r="I45" s="152">
        <v>2016</v>
      </c>
      <c r="J45" s="152">
        <v>2017</v>
      </c>
      <c r="K45" s="152">
        <v>2018</v>
      </c>
      <c r="L45" s="152">
        <v>2019</v>
      </c>
      <c r="M45" s="152">
        <v>2020</v>
      </c>
      <c r="N45" s="152">
        <v>2021</v>
      </c>
      <c r="O45" s="152">
        <v>2022</v>
      </c>
      <c r="P45" s="152">
        <v>2023</v>
      </c>
      <c r="Q45" s="153">
        <v>2024</v>
      </c>
      <c r="R45" s="154">
        <v>2025</v>
      </c>
      <c r="S45" s="153">
        <v>2026</v>
      </c>
      <c r="T45" s="152">
        <v>2027</v>
      </c>
      <c r="U45" s="152">
        <v>2028</v>
      </c>
      <c r="V45" s="152">
        <v>2029</v>
      </c>
      <c r="W45" s="154">
        <v>2030</v>
      </c>
    </row>
    <row r="46" spans="1:24" ht="15" customHeight="1">
      <c r="A46" s="155" t="s">
        <v>74</v>
      </c>
      <c r="B46" s="209">
        <v>0</v>
      </c>
      <c r="C46" s="210">
        <v>-0.01</v>
      </c>
      <c r="D46" s="209">
        <f t="shared" si="16"/>
        <v>-0.01</v>
      </c>
      <c r="E46" s="210">
        <f t="shared" si="17"/>
        <v>-0.01</v>
      </c>
      <c r="F46" s="159">
        <f aca="true" t="shared" si="23" ref="F46:K101">G46/(1+$B46)</f>
        <v>450</v>
      </c>
      <c r="G46" s="160">
        <f t="shared" si="23"/>
        <v>450</v>
      </c>
      <c r="H46" s="160">
        <f t="shared" si="23"/>
        <v>450</v>
      </c>
      <c r="I46" s="160">
        <f t="shared" si="23"/>
        <v>450</v>
      </c>
      <c r="J46" s="160">
        <f t="shared" si="23"/>
        <v>450</v>
      </c>
      <c r="K46" s="160">
        <f>L46/(1+$B46)</f>
        <v>450</v>
      </c>
      <c r="L46" s="190">
        <v>450</v>
      </c>
      <c r="M46" s="160">
        <f aca="true" t="shared" si="24" ref="M46:P100">L46*(1+$C46)</f>
        <v>445.5</v>
      </c>
      <c r="N46" s="160">
        <f t="shared" si="24"/>
        <v>441.045</v>
      </c>
      <c r="O46" s="160">
        <f t="shared" si="24"/>
        <v>436.63455</v>
      </c>
      <c r="P46" s="160">
        <f t="shared" si="24"/>
        <v>432.26820449999997</v>
      </c>
      <c r="Q46" s="159">
        <f aca="true" t="shared" si="25" ref="Q46:R99">P46*(1+$D46)</f>
        <v>427.94552245499995</v>
      </c>
      <c r="R46" s="161">
        <f>Q46*(1+$D46)</f>
        <v>423.6660672304499</v>
      </c>
      <c r="S46" s="159">
        <f aca="true" t="shared" si="26" ref="S46:W99">R46*(1+$E46)</f>
        <v>419.42940655814544</v>
      </c>
      <c r="T46" s="160">
        <f aca="true" t="shared" si="27" ref="T46:W46">S46*(1+$E46)</f>
        <v>415.235112492564</v>
      </c>
      <c r="U46" s="160">
        <f t="shared" si="27"/>
        <v>411.08276136763834</v>
      </c>
      <c r="V46" s="160">
        <f t="shared" si="27"/>
        <v>406.97193375396193</v>
      </c>
      <c r="W46" s="161">
        <f t="shared" si="27"/>
        <v>402.90221441642234</v>
      </c>
      <c r="X46" s="142" t="s">
        <v>106</v>
      </c>
    </row>
    <row r="47" spans="1:24" ht="15" customHeight="1">
      <c r="A47" s="155" t="s">
        <v>76</v>
      </c>
      <c r="B47" s="209">
        <v>0.04</v>
      </c>
      <c r="C47" s="210">
        <v>0.04</v>
      </c>
      <c r="D47" s="209">
        <f t="shared" si="16"/>
        <v>0.04</v>
      </c>
      <c r="E47" s="210">
        <f t="shared" si="17"/>
        <v>0.04</v>
      </c>
      <c r="F47" s="159">
        <f t="shared" si="23"/>
        <v>331.9321008066612</v>
      </c>
      <c r="G47" s="160">
        <f t="shared" si="23"/>
        <v>345.20938483892763</v>
      </c>
      <c r="H47" s="160">
        <f t="shared" si="23"/>
        <v>359.01776023248476</v>
      </c>
      <c r="I47" s="160">
        <f t="shared" si="23"/>
        <v>373.3784706417842</v>
      </c>
      <c r="J47" s="160">
        <f t="shared" si="23"/>
        <v>388.3136094674556</v>
      </c>
      <c r="K47" s="160">
        <f t="shared" si="23"/>
        <v>403.8461538461538</v>
      </c>
      <c r="L47" s="190">
        <v>420</v>
      </c>
      <c r="M47" s="160">
        <f t="shared" si="24"/>
        <v>436.8</v>
      </c>
      <c r="N47" s="160">
        <f t="shared" si="24"/>
        <v>454.27200000000005</v>
      </c>
      <c r="O47" s="160">
        <f t="shared" si="24"/>
        <v>472.44288000000006</v>
      </c>
      <c r="P47" s="160">
        <f t="shared" si="24"/>
        <v>491.34059520000005</v>
      </c>
      <c r="Q47" s="159">
        <f t="shared" si="25"/>
        <v>510.9942190080001</v>
      </c>
      <c r="R47" s="161">
        <f t="shared" si="25"/>
        <v>531.4339877683201</v>
      </c>
      <c r="S47" s="159">
        <f t="shared" si="26"/>
        <v>552.6913472790529</v>
      </c>
      <c r="T47" s="160">
        <f t="shared" si="26"/>
        <v>574.7990011702151</v>
      </c>
      <c r="U47" s="160">
        <f t="shared" si="26"/>
        <v>597.7909612170237</v>
      </c>
      <c r="V47" s="160">
        <f t="shared" si="26"/>
        <v>621.7025996657046</v>
      </c>
      <c r="W47" s="161">
        <f t="shared" si="26"/>
        <v>646.5707036523328</v>
      </c>
      <c r="X47" s="142" t="s">
        <v>106</v>
      </c>
    </row>
    <row r="48" spans="1:27" ht="15" customHeight="1">
      <c r="A48" s="155" t="s">
        <v>78</v>
      </c>
      <c r="B48" s="209">
        <v>0</v>
      </c>
      <c r="C48" s="210">
        <v>-0.01</v>
      </c>
      <c r="D48" s="209">
        <f t="shared" si="16"/>
        <v>-0.01</v>
      </c>
      <c r="E48" s="210">
        <f t="shared" si="17"/>
        <v>-0.01</v>
      </c>
      <c r="F48" s="159">
        <f t="shared" si="23"/>
        <v>400</v>
      </c>
      <c r="G48" s="160">
        <f t="shared" si="23"/>
        <v>400</v>
      </c>
      <c r="H48" s="160">
        <f t="shared" si="23"/>
        <v>400</v>
      </c>
      <c r="I48" s="160">
        <f t="shared" si="23"/>
        <v>400</v>
      </c>
      <c r="J48" s="160">
        <f t="shared" si="23"/>
        <v>400</v>
      </c>
      <c r="K48" s="160">
        <f t="shared" si="23"/>
        <v>400</v>
      </c>
      <c r="L48" s="190">
        <v>400</v>
      </c>
      <c r="M48" s="160">
        <f t="shared" si="24"/>
        <v>396</v>
      </c>
      <c r="N48" s="160">
        <f t="shared" si="24"/>
        <v>392.04</v>
      </c>
      <c r="O48" s="160">
        <f t="shared" si="24"/>
        <v>388.1196</v>
      </c>
      <c r="P48" s="160">
        <f t="shared" si="24"/>
        <v>384.238404</v>
      </c>
      <c r="Q48" s="159">
        <f t="shared" si="25"/>
        <v>380.39601996</v>
      </c>
      <c r="R48" s="161">
        <f t="shared" si="25"/>
        <v>376.5920597604</v>
      </c>
      <c r="S48" s="159">
        <f t="shared" si="26"/>
        <v>372.826139162796</v>
      </c>
      <c r="T48" s="160">
        <f t="shared" si="26"/>
        <v>369.09787777116804</v>
      </c>
      <c r="U48" s="160">
        <f t="shared" si="26"/>
        <v>365.40689899345637</v>
      </c>
      <c r="V48" s="160">
        <f t="shared" si="26"/>
        <v>361.7528300035218</v>
      </c>
      <c r="W48" s="161">
        <f t="shared" si="26"/>
        <v>358.13530170348656</v>
      </c>
      <c r="X48" s="211" t="s">
        <v>107</v>
      </c>
      <c r="Y48" s="142"/>
      <c r="Z48" s="142"/>
      <c r="AA48" s="142"/>
    </row>
    <row r="49" spans="1:24" ht="15" customHeight="1">
      <c r="A49" s="155" t="s">
        <v>79</v>
      </c>
      <c r="B49" s="209">
        <v>0.02</v>
      </c>
      <c r="C49" s="210">
        <v>0.01</v>
      </c>
      <c r="D49" s="209">
        <f t="shared" si="16"/>
        <v>0.01</v>
      </c>
      <c r="E49" s="210">
        <f t="shared" si="17"/>
        <v>0.01</v>
      </c>
      <c r="F49" s="159">
        <f t="shared" si="23"/>
        <v>221.992845546548</v>
      </c>
      <c r="G49" s="160">
        <f t="shared" si="23"/>
        <v>226.43270245747897</v>
      </c>
      <c r="H49" s="160">
        <f t="shared" si="23"/>
        <v>230.96135650662856</v>
      </c>
      <c r="I49" s="160">
        <f t="shared" si="23"/>
        <v>235.58058363676113</v>
      </c>
      <c r="J49" s="160">
        <f t="shared" si="23"/>
        <v>240.29219530949635</v>
      </c>
      <c r="K49" s="160">
        <f t="shared" si="23"/>
        <v>245.09803921568627</v>
      </c>
      <c r="L49" s="171">
        <v>250</v>
      </c>
      <c r="M49" s="160">
        <f t="shared" si="24"/>
        <v>252.5</v>
      </c>
      <c r="N49" s="160">
        <f t="shared" si="24"/>
        <v>255.025</v>
      </c>
      <c r="O49" s="160">
        <f t="shared" si="24"/>
        <v>257.57525</v>
      </c>
      <c r="P49" s="160">
        <f t="shared" si="24"/>
        <v>260.1510025</v>
      </c>
      <c r="Q49" s="159">
        <f t="shared" si="25"/>
        <v>262.752512525</v>
      </c>
      <c r="R49" s="161">
        <f t="shared" si="25"/>
        <v>265.38003765024996</v>
      </c>
      <c r="S49" s="159">
        <f t="shared" si="26"/>
        <v>268.03383802675245</v>
      </c>
      <c r="T49" s="160">
        <f t="shared" si="26"/>
        <v>270.71417640702</v>
      </c>
      <c r="U49" s="160">
        <f t="shared" si="26"/>
        <v>273.4213181710902</v>
      </c>
      <c r="V49" s="160">
        <f t="shared" si="26"/>
        <v>276.1555313528011</v>
      </c>
      <c r="W49" s="161">
        <f t="shared" si="26"/>
        <v>278.9170866663291</v>
      </c>
      <c r="X49" s="142" t="s">
        <v>108</v>
      </c>
    </row>
    <row r="50" spans="1:24" ht="15" customHeight="1">
      <c r="A50" s="155" t="s">
        <v>81</v>
      </c>
      <c r="B50" s="209">
        <v>-0.01</v>
      </c>
      <c r="C50" s="210">
        <v>-0.02</v>
      </c>
      <c r="D50" s="209">
        <f t="shared" si="16"/>
        <v>-0.02</v>
      </c>
      <c r="E50" s="210">
        <f t="shared" si="17"/>
        <v>-0.02</v>
      </c>
      <c r="F50" s="159">
        <f t="shared" si="23"/>
        <v>106.21572856700507</v>
      </c>
      <c r="G50" s="160">
        <f t="shared" si="23"/>
        <v>105.15357128133502</v>
      </c>
      <c r="H50" s="160">
        <f t="shared" si="23"/>
        <v>104.10203556852167</v>
      </c>
      <c r="I50" s="160">
        <f t="shared" si="23"/>
        <v>103.06101521283645</v>
      </c>
      <c r="J50" s="160">
        <f t="shared" si="23"/>
        <v>102.03040506070809</v>
      </c>
      <c r="K50" s="168">
        <f t="shared" si="23"/>
        <v>101.01010101010101</v>
      </c>
      <c r="L50" s="171">
        <v>100</v>
      </c>
      <c r="M50" s="160">
        <f t="shared" si="24"/>
        <v>98</v>
      </c>
      <c r="N50" s="160">
        <f t="shared" si="24"/>
        <v>96.03999999999999</v>
      </c>
      <c r="O50" s="160">
        <f t="shared" si="24"/>
        <v>94.11919999999999</v>
      </c>
      <c r="P50" s="160">
        <f t="shared" si="24"/>
        <v>92.23681599999999</v>
      </c>
      <c r="Q50" s="159">
        <f t="shared" si="25"/>
        <v>90.39207968</v>
      </c>
      <c r="R50" s="161">
        <f t="shared" si="25"/>
        <v>88.58423808639999</v>
      </c>
      <c r="S50" s="159">
        <f t="shared" si="26"/>
        <v>86.812553324672</v>
      </c>
      <c r="T50" s="160">
        <f t="shared" si="26"/>
        <v>85.07630225817856</v>
      </c>
      <c r="U50" s="160">
        <f t="shared" si="26"/>
        <v>83.37477621301498</v>
      </c>
      <c r="V50" s="160">
        <f t="shared" si="26"/>
        <v>81.70728068875468</v>
      </c>
      <c r="W50" s="161">
        <f t="shared" si="26"/>
        <v>80.07313507497959</v>
      </c>
      <c r="X50" s="142" t="s">
        <v>109</v>
      </c>
    </row>
    <row r="51" spans="1:24" ht="15" customHeight="1">
      <c r="A51" s="155" t="s">
        <v>30</v>
      </c>
      <c r="B51" s="209">
        <v>0.1</v>
      </c>
      <c r="C51" s="210">
        <v>0.05</v>
      </c>
      <c r="D51" s="209">
        <f t="shared" si="16"/>
        <v>0.05</v>
      </c>
      <c r="E51" s="210">
        <f t="shared" si="17"/>
        <v>0.05</v>
      </c>
      <c r="F51" s="159">
        <f t="shared" si="23"/>
        <v>47.980284054571065</v>
      </c>
      <c r="G51" s="160">
        <f t="shared" si="23"/>
        <v>52.778312460028175</v>
      </c>
      <c r="H51" s="160">
        <f t="shared" si="23"/>
        <v>58.056143706030994</v>
      </c>
      <c r="I51" s="160">
        <f t="shared" si="23"/>
        <v>63.861758076634096</v>
      </c>
      <c r="J51" s="160">
        <f t="shared" si="23"/>
        <v>70.24793388429751</v>
      </c>
      <c r="K51" s="160">
        <f t="shared" si="23"/>
        <v>77.27272727272727</v>
      </c>
      <c r="L51" s="190">
        <v>85</v>
      </c>
      <c r="M51" s="160">
        <f t="shared" si="24"/>
        <v>89.25</v>
      </c>
      <c r="N51" s="160">
        <f t="shared" si="24"/>
        <v>93.7125</v>
      </c>
      <c r="O51" s="160">
        <f t="shared" si="24"/>
        <v>98.39812500000001</v>
      </c>
      <c r="P51" s="160">
        <f t="shared" si="24"/>
        <v>103.31803125000002</v>
      </c>
      <c r="Q51" s="159">
        <f t="shared" si="25"/>
        <v>108.48393281250003</v>
      </c>
      <c r="R51" s="161">
        <f t="shared" si="25"/>
        <v>113.90812945312504</v>
      </c>
      <c r="S51" s="159">
        <f t="shared" si="26"/>
        <v>119.6035359257813</v>
      </c>
      <c r="T51" s="160">
        <f t="shared" si="26"/>
        <v>125.58371272207037</v>
      </c>
      <c r="U51" s="160">
        <f t="shared" si="26"/>
        <v>131.8628983581739</v>
      </c>
      <c r="V51" s="160">
        <f t="shared" si="26"/>
        <v>138.4560432760826</v>
      </c>
      <c r="W51" s="161">
        <f t="shared" si="26"/>
        <v>145.37884543988673</v>
      </c>
      <c r="X51" s="142" t="s">
        <v>110</v>
      </c>
    </row>
    <row r="52" spans="1:24" ht="15" customHeight="1">
      <c r="A52" s="155" t="s">
        <v>84</v>
      </c>
      <c r="B52" s="209">
        <v>0.1</v>
      </c>
      <c r="C52" s="210">
        <v>0.05</v>
      </c>
      <c r="D52" s="209">
        <f t="shared" si="16"/>
        <v>0.05</v>
      </c>
      <c r="E52" s="210">
        <f t="shared" si="17"/>
        <v>0.05</v>
      </c>
      <c r="F52" s="159">
        <f t="shared" si="23"/>
        <v>112.89478601075544</v>
      </c>
      <c r="G52" s="160">
        <f t="shared" si="23"/>
        <v>124.184264611831</v>
      </c>
      <c r="H52" s="160">
        <f t="shared" si="23"/>
        <v>136.6026910730141</v>
      </c>
      <c r="I52" s="160">
        <f t="shared" si="23"/>
        <v>150.26296018031553</v>
      </c>
      <c r="J52" s="160">
        <f t="shared" si="23"/>
        <v>165.2892561983471</v>
      </c>
      <c r="K52" s="160">
        <f t="shared" si="23"/>
        <v>181.8181818181818</v>
      </c>
      <c r="L52" s="190">
        <v>200</v>
      </c>
      <c r="M52" s="160">
        <f t="shared" si="24"/>
        <v>210</v>
      </c>
      <c r="N52" s="160">
        <f t="shared" si="24"/>
        <v>220.5</v>
      </c>
      <c r="O52" s="160">
        <f t="shared" si="24"/>
        <v>231.525</v>
      </c>
      <c r="P52" s="160">
        <f t="shared" si="24"/>
        <v>243.10125000000002</v>
      </c>
      <c r="Q52" s="159">
        <f t="shared" si="25"/>
        <v>255.25631250000004</v>
      </c>
      <c r="R52" s="161">
        <f t="shared" si="25"/>
        <v>268.01912812500007</v>
      </c>
      <c r="S52" s="159">
        <f t="shared" si="26"/>
        <v>281.4200845312501</v>
      </c>
      <c r="T52" s="160">
        <f t="shared" si="26"/>
        <v>295.49108875781263</v>
      </c>
      <c r="U52" s="160">
        <f t="shared" si="26"/>
        <v>310.26564319570326</v>
      </c>
      <c r="V52" s="160">
        <f t="shared" si="26"/>
        <v>325.7789253554884</v>
      </c>
      <c r="W52" s="161">
        <f t="shared" si="26"/>
        <v>342.0678716232629</v>
      </c>
      <c r="X52" s="142" t="s">
        <v>110</v>
      </c>
    </row>
    <row r="53" spans="1:24" ht="15" customHeight="1">
      <c r="A53" s="155" t="s">
        <v>86</v>
      </c>
      <c r="B53" s="209">
        <v>0</v>
      </c>
      <c r="C53" s="210">
        <v>0</v>
      </c>
      <c r="D53" s="209">
        <f t="shared" si="16"/>
        <v>0</v>
      </c>
      <c r="E53" s="210">
        <f t="shared" si="17"/>
        <v>0</v>
      </c>
      <c r="F53" s="159">
        <f t="shared" si="23"/>
        <v>20</v>
      </c>
      <c r="G53" s="160">
        <f t="shared" si="23"/>
        <v>20</v>
      </c>
      <c r="H53" s="160">
        <f t="shared" si="23"/>
        <v>20</v>
      </c>
      <c r="I53" s="160">
        <f t="shared" si="23"/>
        <v>20</v>
      </c>
      <c r="J53" s="160">
        <f t="shared" si="23"/>
        <v>20</v>
      </c>
      <c r="K53" s="160">
        <f t="shared" si="23"/>
        <v>20</v>
      </c>
      <c r="L53" s="171">
        <v>20</v>
      </c>
      <c r="M53" s="160">
        <f t="shared" si="24"/>
        <v>20</v>
      </c>
      <c r="N53" s="160">
        <f t="shared" si="24"/>
        <v>20</v>
      </c>
      <c r="O53" s="160">
        <f t="shared" si="24"/>
        <v>20</v>
      </c>
      <c r="P53" s="160">
        <f t="shared" si="24"/>
        <v>20</v>
      </c>
      <c r="Q53" s="159">
        <f t="shared" si="25"/>
        <v>20</v>
      </c>
      <c r="R53" s="161">
        <f t="shared" si="25"/>
        <v>20</v>
      </c>
      <c r="S53" s="159">
        <f t="shared" si="26"/>
        <v>20</v>
      </c>
      <c r="T53" s="160">
        <f t="shared" si="26"/>
        <v>20</v>
      </c>
      <c r="U53" s="160">
        <f t="shared" si="26"/>
        <v>20</v>
      </c>
      <c r="V53" s="160">
        <f t="shared" si="26"/>
        <v>20</v>
      </c>
      <c r="W53" s="161">
        <f t="shared" si="26"/>
        <v>20</v>
      </c>
      <c r="X53" s="142" t="s">
        <v>111</v>
      </c>
    </row>
    <row r="54" spans="1:24" ht="15" customHeight="1">
      <c r="A54" s="212" t="s">
        <v>88</v>
      </c>
      <c r="B54" s="213">
        <v>0.05</v>
      </c>
      <c r="C54" s="214">
        <v>0.05</v>
      </c>
      <c r="D54" s="209">
        <f t="shared" si="16"/>
        <v>0.05</v>
      </c>
      <c r="E54" s="210">
        <f t="shared" si="17"/>
        <v>0.05</v>
      </c>
      <c r="F54" s="159">
        <f t="shared" si="23"/>
        <v>1.1193230949549413</v>
      </c>
      <c r="G54" s="160">
        <f t="shared" si="23"/>
        <v>1.1752892497026883</v>
      </c>
      <c r="H54" s="160">
        <f t="shared" si="23"/>
        <v>1.2340537121878228</v>
      </c>
      <c r="I54" s="160">
        <f t="shared" si="23"/>
        <v>1.295756397797214</v>
      </c>
      <c r="J54" s="160">
        <f t="shared" si="23"/>
        <v>1.3605442176870748</v>
      </c>
      <c r="K54" s="160">
        <f t="shared" si="23"/>
        <v>1.4285714285714286</v>
      </c>
      <c r="L54" s="171">
        <f>5*0.3</f>
        <v>1.5</v>
      </c>
      <c r="M54" s="160">
        <f t="shared" si="24"/>
        <v>1.5750000000000002</v>
      </c>
      <c r="N54" s="160">
        <f t="shared" si="24"/>
        <v>1.6537500000000003</v>
      </c>
      <c r="O54" s="160">
        <f t="shared" si="24"/>
        <v>1.7364375000000003</v>
      </c>
      <c r="P54" s="160">
        <f t="shared" si="24"/>
        <v>1.8232593750000003</v>
      </c>
      <c r="Q54" s="159">
        <f t="shared" si="25"/>
        <v>1.9144223437500005</v>
      </c>
      <c r="R54" s="161">
        <f t="shared" si="25"/>
        <v>2.010143460937501</v>
      </c>
      <c r="S54" s="159">
        <f t="shared" si="26"/>
        <v>2.110650633984376</v>
      </c>
      <c r="T54" s="160">
        <f t="shared" si="26"/>
        <v>2.216183165683595</v>
      </c>
      <c r="U54" s="160">
        <f t="shared" si="26"/>
        <v>2.3269923239677746</v>
      </c>
      <c r="V54" s="160">
        <f t="shared" si="26"/>
        <v>2.4433419401661634</v>
      </c>
      <c r="W54" s="161">
        <f t="shared" si="26"/>
        <v>2.5655090371744715</v>
      </c>
      <c r="X54" s="142" t="s">
        <v>112</v>
      </c>
    </row>
    <row r="55" spans="1:24" ht="15" customHeight="1">
      <c r="A55" s="155" t="s">
        <v>90</v>
      </c>
      <c r="B55" s="209">
        <v>0.1</v>
      </c>
      <c r="C55" s="210">
        <v>0.07</v>
      </c>
      <c r="D55" s="209">
        <f t="shared" si="16"/>
        <v>0.07</v>
      </c>
      <c r="E55" s="210">
        <f t="shared" si="17"/>
        <v>0.07</v>
      </c>
      <c r="F55" s="159">
        <f t="shared" si="23"/>
        <v>598.3423658570039</v>
      </c>
      <c r="G55" s="160">
        <f t="shared" si="23"/>
        <v>658.1766024427043</v>
      </c>
      <c r="H55" s="160">
        <f t="shared" si="23"/>
        <v>723.9942626869747</v>
      </c>
      <c r="I55" s="160">
        <f t="shared" si="23"/>
        <v>796.3936889556722</v>
      </c>
      <c r="J55" s="160">
        <f t="shared" si="23"/>
        <v>876.0330578512395</v>
      </c>
      <c r="K55" s="160">
        <f t="shared" si="23"/>
        <v>963.6363636363635</v>
      </c>
      <c r="L55" s="190">
        <v>1060</v>
      </c>
      <c r="M55" s="160">
        <f t="shared" si="24"/>
        <v>1134.2</v>
      </c>
      <c r="N55" s="160">
        <f t="shared" si="24"/>
        <v>1213.594</v>
      </c>
      <c r="O55" s="160">
        <f t="shared" si="24"/>
        <v>1298.5455800000002</v>
      </c>
      <c r="P55" s="160">
        <f t="shared" si="24"/>
        <v>1389.4437706000003</v>
      </c>
      <c r="Q55" s="159">
        <f t="shared" si="25"/>
        <v>1486.7048345420005</v>
      </c>
      <c r="R55" s="161">
        <f t="shared" si="25"/>
        <v>1590.7741729599406</v>
      </c>
      <c r="S55" s="159">
        <f t="shared" si="26"/>
        <v>1702.1283650671367</v>
      </c>
      <c r="T55" s="160">
        <f t="shared" si="26"/>
        <v>1821.2773506218364</v>
      </c>
      <c r="U55" s="160">
        <f t="shared" si="26"/>
        <v>1948.766765165365</v>
      </c>
      <c r="V55" s="160">
        <f t="shared" si="26"/>
        <v>2085.180438726941</v>
      </c>
      <c r="W55" s="161">
        <f t="shared" si="26"/>
        <v>2231.143069437827</v>
      </c>
      <c r="X55" s="215" t="s">
        <v>113</v>
      </c>
    </row>
    <row r="56" spans="1:24" ht="13.75" customHeight="1">
      <c r="A56" s="155" t="s">
        <v>92</v>
      </c>
      <c r="B56" s="209">
        <v>0</v>
      </c>
      <c r="C56" s="210">
        <v>-0.01</v>
      </c>
      <c r="D56" s="209">
        <f t="shared" si="16"/>
        <v>-0.01</v>
      </c>
      <c r="E56" s="210">
        <f t="shared" si="17"/>
        <v>-0.01</v>
      </c>
      <c r="F56" s="159">
        <f t="shared" si="23"/>
        <v>70</v>
      </c>
      <c r="G56" s="160">
        <f t="shared" si="23"/>
        <v>70</v>
      </c>
      <c r="H56" s="160">
        <f t="shared" si="23"/>
        <v>70</v>
      </c>
      <c r="I56" s="160">
        <f t="shared" si="23"/>
        <v>70</v>
      </c>
      <c r="J56" s="160">
        <f t="shared" si="23"/>
        <v>70</v>
      </c>
      <c r="K56" s="160">
        <f t="shared" si="23"/>
        <v>70</v>
      </c>
      <c r="L56" s="171">
        <v>70</v>
      </c>
      <c r="M56" s="160">
        <f t="shared" si="24"/>
        <v>69.3</v>
      </c>
      <c r="N56" s="160">
        <f t="shared" si="24"/>
        <v>68.607</v>
      </c>
      <c r="O56" s="160">
        <f t="shared" si="24"/>
        <v>67.92093</v>
      </c>
      <c r="P56" s="160">
        <f t="shared" si="24"/>
        <v>67.2417207</v>
      </c>
      <c r="Q56" s="159">
        <f t="shared" si="25"/>
        <v>66.569303493</v>
      </c>
      <c r="R56" s="161">
        <f t="shared" si="25"/>
        <v>65.90361045807</v>
      </c>
      <c r="S56" s="159">
        <f t="shared" si="26"/>
        <v>65.2445743534893</v>
      </c>
      <c r="T56" s="160">
        <f t="shared" si="26"/>
        <v>64.5921286099544</v>
      </c>
      <c r="U56" s="160">
        <f t="shared" si="26"/>
        <v>63.94620732385486</v>
      </c>
      <c r="V56" s="160">
        <f t="shared" si="26"/>
        <v>63.30674525061631</v>
      </c>
      <c r="W56" s="161">
        <f t="shared" si="26"/>
        <v>62.67367779811015</v>
      </c>
      <c r="X56" s="142" t="s">
        <v>114</v>
      </c>
    </row>
    <row r="57" spans="1:24" ht="13.75" customHeight="1">
      <c r="A57" s="155" t="s">
        <v>94</v>
      </c>
      <c r="B57" s="209">
        <v>0</v>
      </c>
      <c r="C57" s="210">
        <v>-0.01</v>
      </c>
      <c r="D57" s="209">
        <f t="shared" si="16"/>
        <v>-0.01</v>
      </c>
      <c r="E57" s="210">
        <f t="shared" si="17"/>
        <v>-0.01</v>
      </c>
      <c r="F57" s="159">
        <f t="shared" si="23"/>
        <v>120</v>
      </c>
      <c r="G57" s="160">
        <f t="shared" si="23"/>
        <v>120</v>
      </c>
      <c r="H57" s="160">
        <f t="shared" si="23"/>
        <v>120</v>
      </c>
      <c r="I57" s="160">
        <f t="shared" si="23"/>
        <v>120</v>
      </c>
      <c r="J57" s="160">
        <f t="shared" si="23"/>
        <v>120</v>
      </c>
      <c r="K57" s="160">
        <f t="shared" si="23"/>
        <v>120</v>
      </c>
      <c r="L57" s="171">
        <v>120</v>
      </c>
      <c r="M57" s="160">
        <f t="shared" si="24"/>
        <v>118.8</v>
      </c>
      <c r="N57" s="160">
        <f t="shared" si="24"/>
        <v>117.612</v>
      </c>
      <c r="O57" s="160">
        <f t="shared" si="24"/>
        <v>116.43588</v>
      </c>
      <c r="P57" s="160">
        <f t="shared" si="24"/>
        <v>115.2715212</v>
      </c>
      <c r="Q57" s="159">
        <f t="shared" si="25"/>
        <v>114.11880598799999</v>
      </c>
      <c r="R57" s="161">
        <f t="shared" si="25"/>
        <v>112.97761792812</v>
      </c>
      <c r="S57" s="159">
        <f t="shared" si="26"/>
        <v>111.8478417488388</v>
      </c>
      <c r="T57" s="160">
        <f t="shared" si="26"/>
        <v>110.72936333135041</v>
      </c>
      <c r="U57" s="160">
        <f t="shared" si="26"/>
        <v>109.62206969803691</v>
      </c>
      <c r="V57" s="160">
        <f t="shared" si="26"/>
        <v>108.52584900105654</v>
      </c>
      <c r="W57" s="161">
        <f t="shared" si="26"/>
        <v>107.44059051104598</v>
      </c>
      <c r="X57" s="142" t="s">
        <v>115</v>
      </c>
    </row>
    <row r="58" spans="1:24" ht="13.75" customHeight="1">
      <c r="A58" s="155" t="s">
        <v>96</v>
      </c>
      <c r="B58" s="209">
        <v>0</v>
      </c>
      <c r="C58" s="210">
        <v>-0.01</v>
      </c>
      <c r="D58" s="209">
        <f t="shared" si="16"/>
        <v>-0.01</v>
      </c>
      <c r="E58" s="210">
        <f t="shared" si="17"/>
        <v>-0.01</v>
      </c>
      <c r="F58" s="159">
        <f t="shared" si="23"/>
        <v>120</v>
      </c>
      <c r="G58" s="160">
        <f t="shared" si="23"/>
        <v>120</v>
      </c>
      <c r="H58" s="160">
        <f t="shared" si="23"/>
        <v>120</v>
      </c>
      <c r="I58" s="160">
        <f t="shared" si="23"/>
        <v>120</v>
      </c>
      <c r="J58" s="160">
        <f t="shared" si="23"/>
        <v>120</v>
      </c>
      <c r="K58" s="160">
        <f t="shared" si="23"/>
        <v>120</v>
      </c>
      <c r="L58" s="171">
        <v>120</v>
      </c>
      <c r="M58" s="160">
        <f t="shared" si="24"/>
        <v>118.8</v>
      </c>
      <c r="N58" s="160">
        <f t="shared" si="24"/>
        <v>117.612</v>
      </c>
      <c r="O58" s="160">
        <f t="shared" si="24"/>
        <v>116.43588</v>
      </c>
      <c r="P58" s="160">
        <f t="shared" si="24"/>
        <v>115.2715212</v>
      </c>
      <c r="Q58" s="159">
        <f t="shared" si="25"/>
        <v>114.11880598799999</v>
      </c>
      <c r="R58" s="161">
        <f t="shared" si="25"/>
        <v>112.97761792812</v>
      </c>
      <c r="S58" s="159">
        <f t="shared" si="26"/>
        <v>111.8478417488388</v>
      </c>
      <c r="T58" s="160">
        <f t="shared" si="26"/>
        <v>110.72936333135041</v>
      </c>
      <c r="U58" s="160">
        <f t="shared" si="26"/>
        <v>109.62206969803691</v>
      </c>
      <c r="V58" s="160">
        <f t="shared" si="26"/>
        <v>108.52584900105654</v>
      </c>
      <c r="W58" s="161">
        <f t="shared" si="26"/>
        <v>107.44059051104598</v>
      </c>
      <c r="X58" s="142" t="s">
        <v>116</v>
      </c>
    </row>
    <row r="59" spans="1:24" ht="13.75" customHeight="1">
      <c r="A59" s="155" t="s">
        <v>5</v>
      </c>
      <c r="B59" s="209">
        <v>0.01</v>
      </c>
      <c r="C59" s="210">
        <v>0.03</v>
      </c>
      <c r="D59" s="209">
        <f t="shared" si="16"/>
        <v>0.03</v>
      </c>
      <c r="E59" s="216">
        <f>D59</f>
        <v>0.03</v>
      </c>
      <c r="F59" s="159">
        <f t="shared" si="23"/>
        <v>47.10226176271033</v>
      </c>
      <c r="G59" s="160">
        <f t="shared" si="23"/>
        <v>47.573284380337434</v>
      </c>
      <c r="H59" s="160">
        <f t="shared" si="23"/>
        <v>48.04901722414081</v>
      </c>
      <c r="I59" s="160">
        <f t="shared" si="23"/>
        <v>48.52950739638222</v>
      </c>
      <c r="J59" s="160">
        <f t="shared" si="23"/>
        <v>49.01480247034605</v>
      </c>
      <c r="K59" s="160">
        <f t="shared" si="23"/>
        <v>49.504950495049506</v>
      </c>
      <c r="L59" s="171">
        <v>50</v>
      </c>
      <c r="M59" s="160">
        <f t="shared" si="24"/>
        <v>51.5</v>
      </c>
      <c r="N59" s="160">
        <f t="shared" si="24"/>
        <v>53.045</v>
      </c>
      <c r="O59" s="160">
        <f t="shared" si="24"/>
        <v>54.63635</v>
      </c>
      <c r="P59" s="160">
        <f t="shared" si="24"/>
        <v>56.2754405</v>
      </c>
      <c r="Q59" s="159">
        <f t="shared" si="25"/>
        <v>57.963703715</v>
      </c>
      <c r="R59" s="161">
        <f t="shared" si="25"/>
        <v>59.70261482645</v>
      </c>
      <c r="S59" s="159">
        <f t="shared" si="26"/>
        <v>61.4936932712435</v>
      </c>
      <c r="T59" s="160">
        <f t="shared" si="26"/>
        <v>63.33850406938081</v>
      </c>
      <c r="U59" s="160">
        <f t="shared" si="26"/>
        <v>65.23865919146223</v>
      </c>
      <c r="V59" s="160">
        <f t="shared" si="26"/>
        <v>67.19581896720611</v>
      </c>
      <c r="W59" s="161">
        <f t="shared" si="26"/>
        <v>69.2116935362223</v>
      </c>
      <c r="X59" s="142" t="s">
        <v>117</v>
      </c>
    </row>
    <row r="60" spans="1:24" ht="13.75" customHeight="1">
      <c r="A60" s="155" t="s">
        <v>33</v>
      </c>
      <c r="B60" s="209">
        <v>0.03</v>
      </c>
      <c r="C60" s="210">
        <v>0.03</v>
      </c>
      <c r="D60" s="209">
        <f t="shared" si="16"/>
        <v>0.03</v>
      </c>
      <c r="E60" s="210">
        <f t="shared" si="17"/>
        <v>0.03</v>
      </c>
      <c r="F60" s="159">
        <f t="shared" si="23"/>
        <v>66.99874053469233</v>
      </c>
      <c r="G60" s="160">
        <f t="shared" si="23"/>
        <v>69.00870275073311</v>
      </c>
      <c r="H60" s="160">
        <f t="shared" si="23"/>
        <v>71.0789638332551</v>
      </c>
      <c r="I60" s="160">
        <f t="shared" si="23"/>
        <v>73.21133274825276</v>
      </c>
      <c r="J60" s="160">
        <f t="shared" si="23"/>
        <v>75.40767273070034</v>
      </c>
      <c r="K60" s="160">
        <f t="shared" si="23"/>
        <v>77.66990291262135</v>
      </c>
      <c r="L60" s="171">
        <v>80</v>
      </c>
      <c r="M60" s="160">
        <f t="shared" si="24"/>
        <v>82.4</v>
      </c>
      <c r="N60" s="160">
        <f t="shared" si="24"/>
        <v>84.87200000000001</v>
      </c>
      <c r="O60" s="160">
        <f t="shared" si="24"/>
        <v>87.41816000000001</v>
      </c>
      <c r="P60" s="160">
        <f t="shared" si="24"/>
        <v>90.04070480000001</v>
      </c>
      <c r="Q60" s="159">
        <f t="shared" si="25"/>
        <v>92.74192594400002</v>
      </c>
      <c r="R60" s="161">
        <f t="shared" si="25"/>
        <v>95.52418372232002</v>
      </c>
      <c r="S60" s="159">
        <f t="shared" si="26"/>
        <v>98.38990923398963</v>
      </c>
      <c r="T60" s="160">
        <f t="shared" si="26"/>
        <v>101.34160651100932</v>
      </c>
      <c r="U60" s="160">
        <f t="shared" si="26"/>
        <v>104.3818547063396</v>
      </c>
      <c r="V60" s="160">
        <f t="shared" si="26"/>
        <v>107.51331034752978</v>
      </c>
      <c r="W60" s="161">
        <f t="shared" si="26"/>
        <v>110.73870965795568</v>
      </c>
      <c r="X60" s="142" t="s">
        <v>118</v>
      </c>
    </row>
    <row r="61" spans="1:24" ht="13.75" customHeight="1">
      <c r="A61" s="155" t="s">
        <v>101</v>
      </c>
      <c r="B61" s="209">
        <v>0.1</v>
      </c>
      <c r="C61" s="210">
        <v>0.07</v>
      </c>
      <c r="D61" s="209">
        <f t="shared" si="16"/>
        <v>0.07</v>
      </c>
      <c r="E61" s="210">
        <f t="shared" si="17"/>
        <v>0.07</v>
      </c>
      <c r="F61" s="159">
        <f t="shared" si="23"/>
        <v>733.8161090699102</v>
      </c>
      <c r="G61" s="160">
        <f t="shared" si="23"/>
        <v>807.1977199769013</v>
      </c>
      <c r="H61" s="160">
        <f t="shared" si="23"/>
        <v>887.9174919745916</v>
      </c>
      <c r="I61" s="160">
        <f t="shared" si="23"/>
        <v>976.7092411720508</v>
      </c>
      <c r="J61" s="160">
        <f t="shared" si="23"/>
        <v>1074.380165289256</v>
      </c>
      <c r="K61" s="160">
        <f t="shared" si="23"/>
        <v>1181.8181818181818</v>
      </c>
      <c r="L61" s="190">
        <v>1300</v>
      </c>
      <c r="M61" s="160">
        <f t="shared" si="24"/>
        <v>1391</v>
      </c>
      <c r="N61" s="160">
        <f t="shared" si="24"/>
        <v>1488.3700000000001</v>
      </c>
      <c r="O61" s="160">
        <f t="shared" si="24"/>
        <v>1592.5559000000003</v>
      </c>
      <c r="P61" s="160">
        <f t="shared" si="24"/>
        <v>1704.0348130000004</v>
      </c>
      <c r="Q61" s="159">
        <f t="shared" si="25"/>
        <v>1823.3172499100006</v>
      </c>
      <c r="R61" s="161">
        <f t="shared" si="25"/>
        <v>1950.9494574037008</v>
      </c>
      <c r="S61" s="159">
        <f t="shared" si="26"/>
        <v>2087.51591942196</v>
      </c>
      <c r="T61" s="160">
        <f t="shared" si="26"/>
        <v>2233.6420337814975</v>
      </c>
      <c r="U61" s="160">
        <f t="shared" si="26"/>
        <v>2389.9969761462025</v>
      </c>
      <c r="V61" s="160">
        <f t="shared" si="26"/>
        <v>2557.2967644764367</v>
      </c>
      <c r="W61" s="161">
        <f t="shared" si="26"/>
        <v>2736.3075379897873</v>
      </c>
      <c r="X61" s="142" t="s">
        <v>110</v>
      </c>
    </row>
    <row r="62" spans="1:24" ht="15" customHeight="1">
      <c r="A62" s="178" t="s">
        <v>16</v>
      </c>
      <c r="B62" s="217">
        <v>0.03</v>
      </c>
      <c r="C62" s="218">
        <v>0.02</v>
      </c>
      <c r="D62" s="217">
        <f t="shared" si="16"/>
        <v>0.02</v>
      </c>
      <c r="E62" s="218">
        <f t="shared" si="17"/>
        <v>0.02</v>
      </c>
      <c r="F62" s="219">
        <f t="shared" si="23"/>
        <v>41.87421283418271</v>
      </c>
      <c r="G62" s="220">
        <f t="shared" si="23"/>
        <v>43.13043921920819</v>
      </c>
      <c r="H62" s="220">
        <f t="shared" si="23"/>
        <v>44.42435239578444</v>
      </c>
      <c r="I62" s="220">
        <f t="shared" si="23"/>
        <v>45.75708296765797</v>
      </c>
      <c r="J62" s="220">
        <f t="shared" si="23"/>
        <v>47.12979545668771</v>
      </c>
      <c r="K62" s="220">
        <f t="shared" si="23"/>
        <v>48.543689320388346</v>
      </c>
      <c r="L62" s="221">
        <v>50</v>
      </c>
      <c r="M62" s="220">
        <f t="shared" si="24"/>
        <v>51</v>
      </c>
      <c r="N62" s="220">
        <f t="shared" si="24"/>
        <v>52.02</v>
      </c>
      <c r="O62" s="220">
        <f t="shared" si="24"/>
        <v>53.0604</v>
      </c>
      <c r="P62" s="220">
        <f t="shared" si="24"/>
        <v>54.121608</v>
      </c>
      <c r="Q62" s="219">
        <f t="shared" si="25"/>
        <v>55.204040160000005</v>
      </c>
      <c r="R62" s="222">
        <f t="shared" si="25"/>
        <v>56.308120963200004</v>
      </c>
      <c r="S62" s="219">
        <f t="shared" si="26"/>
        <v>57.434283382464</v>
      </c>
      <c r="T62" s="220">
        <f t="shared" si="26"/>
        <v>58.582969050113284</v>
      </c>
      <c r="U62" s="220">
        <f t="shared" si="26"/>
        <v>59.75462843111555</v>
      </c>
      <c r="V62" s="220">
        <f t="shared" si="26"/>
        <v>60.94972099973786</v>
      </c>
      <c r="W62" s="222">
        <f t="shared" si="26"/>
        <v>62.16871541973262</v>
      </c>
      <c r="X62" s="142" t="s">
        <v>119</v>
      </c>
    </row>
    <row r="63" spans="1:23" ht="15" customHeight="1">
      <c r="A63" s="207"/>
      <c r="B63" s="207"/>
      <c r="C63" s="207"/>
      <c r="D63" s="207"/>
      <c r="E63" s="207"/>
      <c r="F63" s="142"/>
      <c r="G63" s="142"/>
      <c r="H63" s="142"/>
      <c r="I63" s="142"/>
      <c r="J63" s="142"/>
      <c r="K63" s="142"/>
      <c r="L63" s="142"/>
      <c r="M63" s="208"/>
      <c r="N63" s="208"/>
      <c r="O63" s="208"/>
      <c r="P63" s="208"/>
      <c r="Q63" s="208"/>
      <c r="R63" s="208"/>
      <c r="S63" s="208"/>
      <c r="T63" s="208"/>
      <c r="U63" s="208"/>
      <c r="V63" s="208"/>
      <c r="W63" s="208"/>
    </row>
    <row r="64" spans="1:23" ht="15" customHeight="1">
      <c r="A64" s="223"/>
      <c r="B64" s="223"/>
      <c r="C64" s="223"/>
      <c r="D64" s="223"/>
      <c r="E64" s="223"/>
      <c r="M64" s="208"/>
      <c r="N64" s="208"/>
      <c r="O64" s="208"/>
      <c r="P64" s="208"/>
      <c r="Q64" s="208"/>
      <c r="R64" s="208"/>
      <c r="S64" s="208"/>
      <c r="T64" s="208"/>
      <c r="U64" s="208"/>
      <c r="V64" s="208"/>
      <c r="W64" s="208"/>
    </row>
    <row r="65" spans="1:23" ht="30" customHeight="1">
      <c r="A65" s="151" t="s">
        <v>120</v>
      </c>
      <c r="B65" s="153" t="s">
        <v>70</v>
      </c>
      <c r="C65" s="154" t="s">
        <v>71</v>
      </c>
      <c r="D65" s="153" t="s">
        <v>72</v>
      </c>
      <c r="E65" s="154" t="s">
        <v>73</v>
      </c>
      <c r="F65" s="153">
        <v>2013</v>
      </c>
      <c r="G65" s="152">
        <v>2014</v>
      </c>
      <c r="H65" s="152">
        <v>2015</v>
      </c>
      <c r="I65" s="152">
        <v>2016</v>
      </c>
      <c r="J65" s="152">
        <v>2017</v>
      </c>
      <c r="K65" s="152">
        <v>2018</v>
      </c>
      <c r="L65" s="152">
        <v>2019</v>
      </c>
      <c r="M65" s="152">
        <v>2020</v>
      </c>
      <c r="N65" s="152">
        <v>2021</v>
      </c>
      <c r="O65" s="152">
        <v>2022</v>
      </c>
      <c r="P65" s="154">
        <v>2023</v>
      </c>
      <c r="Q65" s="153">
        <v>2024</v>
      </c>
      <c r="R65" s="154">
        <v>2025</v>
      </c>
      <c r="S65" s="153">
        <v>2026</v>
      </c>
      <c r="T65" s="152">
        <v>2027</v>
      </c>
      <c r="U65" s="152">
        <v>2028</v>
      </c>
      <c r="V65" s="152">
        <v>2029</v>
      </c>
      <c r="W65" s="154">
        <v>2030</v>
      </c>
    </row>
    <row r="66" spans="1:24" ht="15" customHeight="1">
      <c r="A66" s="155" t="s">
        <v>74</v>
      </c>
      <c r="B66" s="209">
        <v>0</v>
      </c>
      <c r="C66" s="210">
        <v>0</v>
      </c>
      <c r="D66" s="209">
        <f t="shared" si="16"/>
        <v>0</v>
      </c>
      <c r="E66" s="210">
        <f t="shared" si="17"/>
        <v>0</v>
      </c>
      <c r="F66" s="159">
        <f t="shared" si="23"/>
        <v>1551.7241379310346</v>
      </c>
      <c r="G66" s="160">
        <f t="shared" si="23"/>
        <v>1551.7241379310346</v>
      </c>
      <c r="H66" s="160">
        <f t="shared" si="23"/>
        <v>1551.7241379310346</v>
      </c>
      <c r="I66" s="160">
        <f t="shared" si="23"/>
        <v>1551.7241379310346</v>
      </c>
      <c r="J66" s="160">
        <f t="shared" si="23"/>
        <v>1551.7241379310346</v>
      </c>
      <c r="K66" s="160">
        <f>L66/(1+$B66)</f>
        <v>1551.7241379310346</v>
      </c>
      <c r="L66" s="171">
        <f aca="true" t="shared" si="28" ref="L66:L82">$L46/0.29</f>
        <v>1551.7241379310346</v>
      </c>
      <c r="M66" s="160">
        <f t="shared" si="24"/>
        <v>1551.7241379310346</v>
      </c>
      <c r="N66" s="160">
        <f t="shared" si="24"/>
        <v>1551.7241379310346</v>
      </c>
      <c r="O66" s="160">
        <f t="shared" si="24"/>
        <v>1551.7241379310346</v>
      </c>
      <c r="P66" s="161">
        <f t="shared" si="24"/>
        <v>1551.7241379310346</v>
      </c>
      <c r="Q66" s="159">
        <f t="shared" si="25"/>
        <v>1551.7241379310346</v>
      </c>
      <c r="R66" s="161">
        <f>Q66*(1+$D66)</f>
        <v>1551.7241379310346</v>
      </c>
      <c r="S66" s="159">
        <f t="shared" si="26"/>
        <v>1551.7241379310346</v>
      </c>
      <c r="T66" s="160">
        <f aca="true" t="shared" si="29" ref="T66:W66">S66*(1+$E66)</f>
        <v>1551.7241379310346</v>
      </c>
      <c r="U66" s="160">
        <f t="shared" si="29"/>
        <v>1551.7241379310346</v>
      </c>
      <c r="V66" s="160">
        <f t="shared" si="29"/>
        <v>1551.7241379310346</v>
      </c>
      <c r="W66" s="161">
        <f t="shared" si="29"/>
        <v>1551.7241379310346</v>
      </c>
      <c r="X66" s="142" t="s">
        <v>121</v>
      </c>
    </row>
    <row r="67" spans="1:24" ht="15" customHeight="1">
      <c r="A67" s="155" t="s">
        <v>76</v>
      </c>
      <c r="B67" s="209">
        <v>0.04</v>
      </c>
      <c r="C67" s="210">
        <v>0.05</v>
      </c>
      <c r="D67" s="209">
        <f t="shared" si="16"/>
        <v>0.05</v>
      </c>
      <c r="E67" s="210">
        <f t="shared" si="17"/>
        <v>0.05</v>
      </c>
      <c r="F67" s="159">
        <f t="shared" si="23"/>
        <v>1144.5934510574523</v>
      </c>
      <c r="G67" s="160">
        <f t="shared" si="23"/>
        <v>1190.3771890997505</v>
      </c>
      <c r="H67" s="160">
        <f t="shared" si="23"/>
        <v>1237.9922766637405</v>
      </c>
      <c r="I67" s="160">
        <f t="shared" si="23"/>
        <v>1287.5119677302903</v>
      </c>
      <c r="J67" s="160">
        <f t="shared" si="23"/>
        <v>1339.012446439502</v>
      </c>
      <c r="K67" s="160">
        <f t="shared" si="23"/>
        <v>1392.5729442970821</v>
      </c>
      <c r="L67" s="171">
        <f t="shared" si="28"/>
        <v>1448.2758620689656</v>
      </c>
      <c r="M67" s="160">
        <f t="shared" si="24"/>
        <v>1520.689655172414</v>
      </c>
      <c r="N67" s="160">
        <f t="shared" si="24"/>
        <v>1596.7241379310346</v>
      </c>
      <c r="O67" s="160">
        <f t="shared" si="24"/>
        <v>1676.5603448275865</v>
      </c>
      <c r="P67" s="161">
        <f t="shared" si="24"/>
        <v>1760.388362068966</v>
      </c>
      <c r="Q67" s="159">
        <f t="shared" si="25"/>
        <v>1848.4077801724143</v>
      </c>
      <c r="R67" s="161">
        <f t="shared" si="25"/>
        <v>1940.828169181035</v>
      </c>
      <c r="S67" s="159">
        <f t="shared" si="26"/>
        <v>2037.8695776400868</v>
      </c>
      <c r="T67" s="160">
        <f t="shared" si="26"/>
        <v>2139.763056522091</v>
      </c>
      <c r="U67" s="160">
        <f t="shared" si="26"/>
        <v>2246.751209348196</v>
      </c>
      <c r="V67" s="160">
        <f t="shared" si="26"/>
        <v>2359.0887698156057</v>
      </c>
      <c r="W67" s="161">
        <f t="shared" si="26"/>
        <v>2477.043208306386</v>
      </c>
      <c r="X67" s="142" t="s">
        <v>122</v>
      </c>
    </row>
    <row r="68" spans="1:27" ht="15" customHeight="1">
      <c r="A68" s="155" t="s">
        <v>78</v>
      </c>
      <c r="B68" s="209">
        <v>0</v>
      </c>
      <c r="C68" s="210">
        <v>0</v>
      </c>
      <c r="D68" s="209">
        <f t="shared" si="16"/>
        <v>0</v>
      </c>
      <c r="E68" s="210">
        <f t="shared" si="17"/>
        <v>0</v>
      </c>
      <c r="F68" s="159">
        <f t="shared" si="23"/>
        <v>1150</v>
      </c>
      <c r="G68" s="160">
        <f t="shared" si="23"/>
        <v>1150</v>
      </c>
      <c r="H68" s="160">
        <f t="shared" si="23"/>
        <v>1150</v>
      </c>
      <c r="I68" s="160">
        <f t="shared" si="23"/>
        <v>1150</v>
      </c>
      <c r="J68" s="160">
        <f t="shared" si="23"/>
        <v>1150</v>
      </c>
      <c r="K68" s="160">
        <f t="shared" si="23"/>
        <v>1150</v>
      </c>
      <c r="L68" s="171">
        <v>1150</v>
      </c>
      <c r="M68" s="160">
        <f t="shared" si="24"/>
        <v>1150</v>
      </c>
      <c r="N68" s="160">
        <f t="shared" si="24"/>
        <v>1150</v>
      </c>
      <c r="O68" s="160">
        <f t="shared" si="24"/>
        <v>1150</v>
      </c>
      <c r="P68" s="161">
        <f t="shared" si="24"/>
        <v>1150</v>
      </c>
      <c r="Q68" s="159">
        <f t="shared" si="25"/>
        <v>1150</v>
      </c>
      <c r="R68" s="161">
        <f t="shared" si="25"/>
        <v>1150</v>
      </c>
      <c r="S68" s="159">
        <f t="shared" si="26"/>
        <v>1150</v>
      </c>
      <c r="T68" s="160">
        <f t="shared" si="26"/>
        <v>1150</v>
      </c>
      <c r="U68" s="160">
        <f t="shared" si="26"/>
        <v>1150</v>
      </c>
      <c r="V68" s="160">
        <f t="shared" si="26"/>
        <v>1150</v>
      </c>
      <c r="W68" s="161">
        <f t="shared" si="26"/>
        <v>1150</v>
      </c>
      <c r="X68" s="211" t="s">
        <v>107</v>
      </c>
      <c r="Y68" s="142"/>
      <c r="Z68" s="142"/>
      <c r="AA68" s="142"/>
    </row>
    <row r="69" spans="1:24" ht="15" customHeight="1">
      <c r="A69" s="155" t="s">
        <v>79</v>
      </c>
      <c r="B69" s="209">
        <v>0.02</v>
      </c>
      <c r="C69" s="210">
        <v>0.02</v>
      </c>
      <c r="D69" s="209">
        <f t="shared" si="16"/>
        <v>0.02</v>
      </c>
      <c r="E69" s="210">
        <f t="shared" si="17"/>
        <v>0.02</v>
      </c>
      <c r="F69" s="159">
        <f t="shared" si="23"/>
        <v>765.4925708501655</v>
      </c>
      <c r="G69" s="160">
        <f t="shared" si="23"/>
        <v>780.8024222671688</v>
      </c>
      <c r="H69" s="160">
        <f t="shared" si="23"/>
        <v>796.4184707125122</v>
      </c>
      <c r="I69" s="160">
        <f t="shared" si="23"/>
        <v>812.3468401267625</v>
      </c>
      <c r="J69" s="160">
        <f t="shared" si="23"/>
        <v>828.5937769292977</v>
      </c>
      <c r="K69" s="160">
        <f t="shared" si="23"/>
        <v>845.1656524678837</v>
      </c>
      <c r="L69" s="171">
        <f t="shared" si="28"/>
        <v>862.0689655172414</v>
      </c>
      <c r="M69" s="160">
        <f t="shared" si="24"/>
        <v>879.3103448275863</v>
      </c>
      <c r="N69" s="160">
        <f t="shared" si="24"/>
        <v>896.896551724138</v>
      </c>
      <c r="O69" s="160">
        <f t="shared" si="24"/>
        <v>914.8344827586208</v>
      </c>
      <c r="P69" s="161">
        <f t="shared" si="24"/>
        <v>933.1311724137933</v>
      </c>
      <c r="Q69" s="159">
        <f t="shared" si="25"/>
        <v>951.7937958620691</v>
      </c>
      <c r="R69" s="161">
        <f t="shared" si="25"/>
        <v>970.8296717793105</v>
      </c>
      <c r="S69" s="159">
        <f t="shared" si="26"/>
        <v>990.2462652148968</v>
      </c>
      <c r="T69" s="160">
        <f t="shared" si="26"/>
        <v>1010.0511905191947</v>
      </c>
      <c r="U69" s="160">
        <f t="shared" si="26"/>
        <v>1030.2522143295787</v>
      </c>
      <c r="V69" s="160">
        <f t="shared" si="26"/>
        <v>1050.8572586161704</v>
      </c>
      <c r="W69" s="161">
        <f t="shared" si="26"/>
        <v>1071.8744037884937</v>
      </c>
      <c r="X69" s="142" t="s">
        <v>116</v>
      </c>
    </row>
    <row r="70" spans="1:24" ht="15" customHeight="1">
      <c r="A70" s="155" t="s">
        <v>81</v>
      </c>
      <c r="B70" s="209">
        <v>0</v>
      </c>
      <c r="C70" s="210">
        <v>-0.01</v>
      </c>
      <c r="D70" s="209">
        <f t="shared" si="16"/>
        <v>-0.01</v>
      </c>
      <c r="E70" s="210">
        <f t="shared" si="17"/>
        <v>-0.01</v>
      </c>
      <c r="F70" s="159">
        <f t="shared" si="23"/>
        <v>344.82758620689657</v>
      </c>
      <c r="G70" s="160">
        <f t="shared" si="23"/>
        <v>344.82758620689657</v>
      </c>
      <c r="H70" s="160">
        <f t="shared" si="23"/>
        <v>344.82758620689657</v>
      </c>
      <c r="I70" s="160">
        <f t="shared" si="23"/>
        <v>344.82758620689657</v>
      </c>
      <c r="J70" s="160">
        <f t="shared" si="23"/>
        <v>344.82758620689657</v>
      </c>
      <c r="K70" s="168">
        <f t="shared" si="23"/>
        <v>344.82758620689657</v>
      </c>
      <c r="L70" s="171">
        <f t="shared" si="28"/>
        <v>344.82758620689657</v>
      </c>
      <c r="M70" s="160">
        <f t="shared" si="24"/>
        <v>341.3793103448276</v>
      </c>
      <c r="N70" s="160">
        <f t="shared" si="24"/>
        <v>337.96551724137936</v>
      </c>
      <c r="O70" s="160">
        <f t="shared" si="24"/>
        <v>334.5858620689656</v>
      </c>
      <c r="P70" s="161">
        <f t="shared" si="24"/>
        <v>331.2400034482759</v>
      </c>
      <c r="Q70" s="159">
        <f t="shared" si="25"/>
        <v>327.9276034137931</v>
      </c>
      <c r="R70" s="161">
        <f t="shared" si="25"/>
        <v>324.6483273796552</v>
      </c>
      <c r="S70" s="159">
        <f t="shared" si="26"/>
        <v>321.40184410585863</v>
      </c>
      <c r="T70" s="160">
        <f t="shared" si="26"/>
        <v>318.1878256648</v>
      </c>
      <c r="U70" s="160">
        <f t="shared" si="26"/>
        <v>315.005947408152</v>
      </c>
      <c r="V70" s="160">
        <f t="shared" si="26"/>
        <v>311.8558879340705</v>
      </c>
      <c r="W70" s="161">
        <f t="shared" si="26"/>
        <v>308.7373290547298</v>
      </c>
      <c r="X70" s="142" t="s">
        <v>116</v>
      </c>
    </row>
    <row r="71" spans="1:24" ht="15" customHeight="1">
      <c r="A71" s="155" t="s">
        <v>30</v>
      </c>
      <c r="B71" s="209">
        <v>0.11</v>
      </c>
      <c r="C71" s="210">
        <v>0.06</v>
      </c>
      <c r="D71" s="209">
        <f t="shared" si="16"/>
        <v>0.06</v>
      </c>
      <c r="E71" s="210">
        <f t="shared" si="17"/>
        <v>0.06</v>
      </c>
      <c r="F71" s="159">
        <f t="shared" si="23"/>
        <v>156.70507264671477</v>
      </c>
      <c r="G71" s="160">
        <f t="shared" si="23"/>
        <v>173.9426306378534</v>
      </c>
      <c r="H71" s="160">
        <f t="shared" si="23"/>
        <v>193.0763200080173</v>
      </c>
      <c r="I71" s="160">
        <f t="shared" si="23"/>
        <v>214.3147152088992</v>
      </c>
      <c r="J71" s="160">
        <f t="shared" si="23"/>
        <v>237.88933388187814</v>
      </c>
      <c r="K71" s="160">
        <f t="shared" si="23"/>
        <v>264.0571606088848</v>
      </c>
      <c r="L71" s="171">
        <f t="shared" si="28"/>
        <v>293.1034482758621</v>
      </c>
      <c r="M71" s="160">
        <f t="shared" si="24"/>
        <v>310.68965517241384</v>
      </c>
      <c r="N71" s="160">
        <f t="shared" si="24"/>
        <v>329.3310344827587</v>
      </c>
      <c r="O71" s="160">
        <f t="shared" si="24"/>
        <v>349.09089655172426</v>
      </c>
      <c r="P71" s="161">
        <f t="shared" si="24"/>
        <v>370.0363503448277</v>
      </c>
      <c r="Q71" s="159">
        <f t="shared" si="25"/>
        <v>392.2385313655174</v>
      </c>
      <c r="R71" s="161">
        <f t="shared" si="25"/>
        <v>415.77284324744846</v>
      </c>
      <c r="S71" s="159">
        <f t="shared" si="26"/>
        <v>440.7192138422954</v>
      </c>
      <c r="T71" s="160">
        <f t="shared" si="26"/>
        <v>467.1623666728332</v>
      </c>
      <c r="U71" s="160">
        <f t="shared" si="26"/>
        <v>495.19210867320317</v>
      </c>
      <c r="V71" s="160">
        <f t="shared" si="26"/>
        <v>524.9036351935954</v>
      </c>
      <c r="W71" s="161">
        <f t="shared" si="26"/>
        <v>556.3978533052111</v>
      </c>
      <c r="X71" s="142" t="s">
        <v>123</v>
      </c>
    </row>
    <row r="72" spans="1:24" ht="15" customHeight="1">
      <c r="A72" s="155" t="s">
        <v>84</v>
      </c>
      <c r="B72" s="209">
        <v>0.1</v>
      </c>
      <c r="C72" s="210">
        <v>0.05</v>
      </c>
      <c r="D72" s="209">
        <f t="shared" si="16"/>
        <v>0.05</v>
      </c>
      <c r="E72" s="210">
        <f t="shared" si="17"/>
        <v>0.05</v>
      </c>
      <c r="F72" s="159">
        <f t="shared" si="23"/>
        <v>389.2923655543291</v>
      </c>
      <c r="G72" s="160">
        <f t="shared" si="23"/>
        <v>428.22160210976205</v>
      </c>
      <c r="H72" s="160">
        <f t="shared" si="23"/>
        <v>471.04376232073827</v>
      </c>
      <c r="I72" s="160">
        <f t="shared" si="23"/>
        <v>518.1481385528122</v>
      </c>
      <c r="J72" s="160">
        <f t="shared" si="23"/>
        <v>569.9629524080934</v>
      </c>
      <c r="K72" s="160">
        <f t="shared" si="23"/>
        <v>626.9592476489028</v>
      </c>
      <c r="L72" s="171">
        <f t="shared" si="28"/>
        <v>689.6551724137931</v>
      </c>
      <c r="M72" s="160">
        <f t="shared" si="24"/>
        <v>724.1379310344828</v>
      </c>
      <c r="N72" s="160">
        <f t="shared" si="24"/>
        <v>760.344827586207</v>
      </c>
      <c r="O72" s="160">
        <f t="shared" si="24"/>
        <v>798.3620689655173</v>
      </c>
      <c r="P72" s="161">
        <f t="shared" si="24"/>
        <v>838.2801724137933</v>
      </c>
      <c r="Q72" s="159">
        <f t="shared" si="25"/>
        <v>880.194181034483</v>
      </c>
      <c r="R72" s="161">
        <f t="shared" si="25"/>
        <v>924.2038900862071</v>
      </c>
      <c r="S72" s="159">
        <f t="shared" si="26"/>
        <v>970.4140845905175</v>
      </c>
      <c r="T72" s="160">
        <f t="shared" si="26"/>
        <v>1018.9347888200434</v>
      </c>
      <c r="U72" s="160">
        <f t="shared" si="26"/>
        <v>1069.8815282610456</v>
      </c>
      <c r="V72" s="160">
        <f t="shared" si="26"/>
        <v>1123.375604674098</v>
      </c>
      <c r="W72" s="161">
        <f t="shared" si="26"/>
        <v>1179.5443849078029</v>
      </c>
      <c r="X72" s="142" t="s">
        <v>116</v>
      </c>
    </row>
    <row r="73" spans="1:24" ht="15" customHeight="1">
      <c r="A73" s="155" t="s">
        <v>86</v>
      </c>
      <c r="B73" s="209">
        <v>0</v>
      </c>
      <c r="C73" s="210">
        <v>0</v>
      </c>
      <c r="D73" s="209">
        <f t="shared" si="16"/>
        <v>0</v>
      </c>
      <c r="E73" s="210">
        <f t="shared" si="17"/>
        <v>0</v>
      </c>
      <c r="F73" s="159">
        <f t="shared" si="23"/>
        <v>68.96551724137932</v>
      </c>
      <c r="G73" s="160">
        <f t="shared" si="23"/>
        <v>68.96551724137932</v>
      </c>
      <c r="H73" s="160">
        <f t="shared" si="23"/>
        <v>68.96551724137932</v>
      </c>
      <c r="I73" s="160">
        <f t="shared" si="23"/>
        <v>68.96551724137932</v>
      </c>
      <c r="J73" s="160">
        <f t="shared" si="23"/>
        <v>68.96551724137932</v>
      </c>
      <c r="K73" s="160">
        <f t="shared" si="23"/>
        <v>68.96551724137932</v>
      </c>
      <c r="L73" s="171">
        <f t="shared" si="28"/>
        <v>68.96551724137932</v>
      </c>
      <c r="M73" s="160">
        <f t="shared" si="24"/>
        <v>68.96551724137932</v>
      </c>
      <c r="N73" s="160">
        <f t="shared" si="24"/>
        <v>68.96551724137932</v>
      </c>
      <c r="O73" s="160">
        <f t="shared" si="24"/>
        <v>68.96551724137932</v>
      </c>
      <c r="P73" s="161">
        <f t="shared" si="24"/>
        <v>68.96551724137932</v>
      </c>
      <c r="Q73" s="159">
        <f t="shared" si="25"/>
        <v>68.96551724137932</v>
      </c>
      <c r="R73" s="161">
        <f t="shared" si="25"/>
        <v>68.96551724137932</v>
      </c>
      <c r="S73" s="159">
        <f t="shared" si="26"/>
        <v>68.96551724137932</v>
      </c>
      <c r="T73" s="160">
        <f t="shared" si="26"/>
        <v>68.96551724137932</v>
      </c>
      <c r="U73" s="160">
        <f t="shared" si="26"/>
        <v>68.96551724137932</v>
      </c>
      <c r="V73" s="160">
        <f t="shared" si="26"/>
        <v>68.96551724137932</v>
      </c>
      <c r="W73" s="161">
        <f t="shared" si="26"/>
        <v>68.96551724137932</v>
      </c>
      <c r="X73" s="142" t="s">
        <v>97</v>
      </c>
    </row>
    <row r="74" spans="1:24" ht="15" customHeight="1">
      <c r="A74" s="212" t="s">
        <v>88</v>
      </c>
      <c r="B74" s="213">
        <v>0.05</v>
      </c>
      <c r="C74" s="214">
        <v>0.05</v>
      </c>
      <c r="D74" s="209">
        <f t="shared" si="16"/>
        <v>0.05</v>
      </c>
      <c r="E74" s="210">
        <f t="shared" si="17"/>
        <v>0.05</v>
      </c>
      <c r="F74" s="159">
        <f t="shared" si="23"/>
        <v>3.859734810189453</v>
      </c>
      <c r="G74" s="160">
        <f t="shared" si="23"/>
        <v>4.052721550698926</v>
      </c>
      <c r="H74" s="160">
        <f t="shared" si="23"/>
        <v>4.255357628233872</v>
      </c>
      <c r="I74" s="160">
        <f t="shared" si="23"/>
        <v>4.468125509645565</v>
      </c>
      <c r="J74" s="160">
        <f t="shared" si="23"/>
        <v>4.691531785127844</v>
      </c>
      <c r="K74" s="160">
        <f t="shared" si="23"/>
        <v>4.926108374384237</v>
      </c>
      <c r="L74" s="171">
        <f t="shared" si="28"/>
        <v>5.172413793103448</v>
      </c>
      <c r="M74" s="160">
        <f t="shared" si="24"/>
        <v>5.431034482758621</v>
      </c>
      <c r="N74" s="160">
        <f t="shared" si="24"/>
        <v>5.7025862068965525</v>
      </c>
      <c r="O74" s="160">
        <f t="shared" si="24"/>
        <v>5.98771551724138</v>
      </c>
      <c r="P74" s="161">
        <f t="shared" si="24"/>
        <v>6.287101293103449</v>
      </c>
      <c r="Q74" s="159">
        <f t="shared" si="25"/>
        <v>6.601456357758622</v>
      </c>
      <c r="R74" s="161">
        <f t="shared" si="25"/>
        <v>6.931529175646553</v>
      </c>
      <c r="S74" s="159">
        <f t="shared" si="26"/>
        <v>7.278105634428881</v>
      </c>
      <c r="T74" s="160">
        <f t="shared" si="26"/>
        <v>7.642010916150325</v>
      </c>
      <c r="U74" s="160">
        <f t="shared" si="26"/>
        <v>8.024111461957842</v>
      </c>
      <c r="V74" s="160">
        <f t="shared" si="26"/>
        <v>8.425317035055734</v>
      </c>
      <c r="W74" s="161">
        <f t="shared" si="26"/>
        <v>8.846582886808521</v>
      </c>
      <c r="X74" s="142" t="s">
        <v>97</v>
      </c>
    </row>
    <row r="75" spans="1:27" ht="15" customHeight="1">
      <c r="A75" s="155" t="s">
        <v>90</v>
      </c>
      <c r="B75" s="209">
        <v>0.1</v>
      </c>
      <c r="C75" s="210">
        <v>0.08</v>
      </c>
      <c r="D75" s="209">
        <f t="shared" si="16"/>
        <v>0.08</v>
      </c>
      <c r="E75" s="210">
        <f t="shared" si="17"/>
        <v>0.08</v>
      </c>
      <c r="F75" s="159">
        <f t="shared" si="23"/>
        <v>1919.2113621828419</v>
      </c>
      <c r="G75" s="160">
        <f t="shared" si="23"/>
        <v>2111.132498401126</v>
      </c>
      <c r="H75" s="160">
        <f t="shared" si="23"/>
        <v>2322.245748241239</v>
      </c>
      <c r="I75" s="160">
        <f t="shared" si="23"/>
        <v>2554.4703230653636</v>
      </c>
      <c r="J75" s="160">
        <f t="shared" si="23"/>
        <v>2809.9173553719</v>
      </c>
      <c r="K75" s="160">
        <f t="shared" si="23"/>
        <v>3090.9090909090905</v>
      </c>
      <c r="L75" s="190">
        <v>3400</v>
      </c>
      <c r="M75" s="160">
        <f t="shared" si="24"/>
        <v>3672.0000000000005</v>
      </c>
      <c r="N75" s="160">
        <f t="shared" si="24"/>
        <v>3965.7600000000007</v>
      </c>
      <c r="O75" s="160">
        <f t="shared" si="24"/>
        <v>4283.020800000001</v>
      </c>
      <c r="P75" s="161">
        <f t="shared" si="24"/>
        <v>4625.662464000002</v>
      </c>
      <c r="Q75" s="159">
        <f t="shared" si="25"/>
        <v>4995.715461120002</v>
      </c>
      <c r="R75" s="161">
        <f t="shared" si="25"/>
        <v>5395.372698009603</v>
      </c>
      <c r="S75" s="159">
        <f t="shared" si="26"/>
        <v>5827.0025138503715</v>
      </c>
      <c r="T75" s="160">
        <f t="shared" si="26"/>
        <v>6293.162714958402</v>
      </c>
      <c r="U75" s="160">
        <f t="shared" si="26"/>
        <v>6796.6157321550745</v>
      </c>
      <c r="V75" s="160">
        <f t="shared" si="26"/>
        <v>7340.344990727481</v>
      </c>
      <c r="W75" s="161">
        <f t="shared" si="26"/>
        <v>7927.57258998568</v>
      </c>
      <c r="X75" s="211" t="s">
        <v>107</v>
      </c>
      <c r="Y75" s="142"/>
      <c r="Z75" s="142"/>
      <c r="AA75" s="142"/>
    </row>
    <row r="76" spans="1:24" ht="15" customHeight="1">
      <c r="A76" s="155" t="s">
        <v>92</v>
      </c>
      <c r="B76" s="209">
        <v>0</v>
      </c>
      <c r="C76" s="210">
        <v>0</v>
      </c>
      <c r="D76" s="209">
        <f t="shared" si="16"/>
        <v>0</v>
      </c>
      <c r="E76" s="210">
        <f t="shared" si="17"/>
        <v>0</v>
      </c>
      <c r="F76" s="159">
        <f t="shared" si="23"/>
        <v>241.37931034482762</v>
      </c>
      <c r="G76" s="160">
        <f t="shared" si="23"/>
        <v>241.37931034482762</v>
      </c>
      <c r="H76" s="160">
        <f t="shared" si="23"/>
        <v>241.37931034482762</v>
      </c>
      <c r="I76" s="160">
        <f t="shared" si="23"/>
        <v>241.37931034482762</v>
      </c>
      <c r="J76" s="160">
        <f t="shared" si="23"/>
        <v>241.37931034482762</v>
      </c>
      <c r="K76" s="160">
        <f t="shared" si="23"/>
        <v>241.37931034482762</v>
      </c>
      <c r="L76" s="171">
        <f t="shared" si="28"/>
        <v>241.37931034482762</v>
      </c>
      <c r="M76" s="160">
        <f t="shared" si="24"/>
        <v>241.37931034482762</v>
      </c>
      <c r="N76" s="160">
        <f t="shared" si="24"/>
        <v>241.37931034482762</v>
      </c>
      <c r="O76" s="160">
        <f t="shared" si="24"/>
        <v>241.37931034482762</v>
      </c>
      <c r="P76" s="161">
        <f t="shared" si="24"/>
        <v>241.37931034482762</v>
      </c>
      <c r="Q76" s="159">
        <f t="shared" si="25"/>
        <v>241.37931034482762</v>
      </c>
      <c r="R76" s="161">
        <f t="shared" si="25"/>
        <v>241.37931034482762</v>
      </c>
      <c r="S76" s="159">
        <f t="shared" si="26"/>
        <v>241.37931034482762</v>
      </c>
      <c r="T76" s="160">
        <f t="shared" si="26"/>
        <v>241.37931034482762</v>
      </c>
      <c r="U76" s="160">
        <f t="shared" si="26"/>
        <v>241.37931034482762</v>
      </c>
      <c r="V76" s="160">
        <f t="shared" si="26"/>
        <v>241.37931034482762</v>
      </c>
      <c r="W76" s="161">
        <f t="shared" si="26"/>
        <v>241.37931034482762</v>
      </c>
      <c r="X76" s="142" t="s">
        <v>111</v>
      </c>
    </row>
    <row r="77" spans="1:24" ht="15" customHeight="1">
      <c r="A77" s="155" t="s">
        <v>94</v>
      </c>
      <c r="B77" s="209">
        <v>0</v>
      </c>
      <c r="C77" s="210">
        <v>0</v>
      </c>
      <c r="D77" s="209">
        <f t="shared" si="16"/>
        <v>0</v>
      </c>
      <c r="E77" s="210">
        <f t="shared" si="17"/>
        <v>0</v>
      </c>
      <c r="F77" s="159">
        <f t="shared" si="23"/>
        <v>413.7931034482759</v>
      </c>
      <c r="G77" s="160">
        <f t="shared" si="23"/>
        <v>413.7931034482759</v>
      </c>
      <c r="H77" s="160">
        <f t="shared" si="23"/>
        <v>413.7931034482759</v>
      </c>
      <c r="I77" s="160">
        <f t="shared" si="23"/>
        <v>413.7931034482759</v>
      </c>
      <c r="J77" s="160">
        <f t="shared" si="23"/>
        <v>413.7931034482759</v>
      </c>
      <c r="K77" s="160">
        <f t="shared" si="23"/>
        <v>413.7931034482759</v>
      </c>
      <c r="L77" s="171">
        <f t="shared" si="28"/>
        <v>413.7931034482759</v>
      </c>
      <c r="M77" s="160">
        <f t="shared" si="24"/>
        <v>413.7931034482759</v>
      </c>
      <c r="N77" s="160">
        <f t="shared" si="24"/>
        <v>413.7931034482759</v>
      </c>
      <c r="O77" s="160">
        <f t="shared" si="24"/>
        <v>413.7931034482759</v>
      </c>
      <c r="P77" s="161">
        <f t="shared" si="24"/>
        <v>413.7931034482759</v>
      </c>
      <c r="Q77" s="159">
        <f t="shared" si="25"/>
        <v>413.7931034482759</v>
      </c>
      <c r="R77" s="161">
        <f t="shared" si="25"/>
        <v>413.7931034482759</v>
      </c>
      <c r="S77" s="159">
        <f t="shared" si="26"/>
        <v>413.7931034482759</v>
      </c>
      <c r="T77" s="160">
        <f t="shared" si="26"/>
        <v>413.7931034482759</v>
      </c>
      <c r="U77" s="160">
        <f t="shared" si="26"/>
        <v>413.7931034482759</v>
      </c>
      <c r="V77" s="160">
        <f t="shared" si="26"/>
        <v>413.7931034482759</v>
      </c>
      <c r="W77" s="161">
        <f t="shared" si="26"/>
        <v>413.7931034482759</v>
      </c>
      <c r="X77" s="142" t="s">
        <v>111</v>
      </c>
    </row>
    <row r="78" spans="1:24" ht="15" customHeight="1">
      <c r="A78" s="155" t="s">
        <v>96</v>
      </c>
      <c r="B78" s="209">
        <v>0</v>
      </c>
      <c r="C78" s="210">
        <v>0</v>
      </c>
      <c r="D78" s="209">
        <f t="shared" si="16"/>
        <v>0</v>
      </c>
      <c r="E78" s="210">
        <f t="shared" si="17"/>
        <v>0</v>
      </c>
      <c r="F78" s="159">
        <f t="shared" si="23"/>
        <v>413.7931034482759</v>
      </c>
      <c r="G78" s="160">
        <f t="shared" si="23"/>
        <v>413.7931034482759</v>
      </c>
      <c r="H78" s="160">
        <f t="shared" si="23"/>
        <v>413.7931034482759</v>
      </c>
      <c r="I78" s="160">
        <f t="shared" si="23"/>
        <v>413.7931034482759</v>
      </c>
      <c r="J78" s="160">
        <f t="shared" si="23"/>
        <v>413.7931034482759</v>
      </c>
      <c r="K78" s="160">
        <f t="shared" si="23"/>
        <v>413.7931034482759</v>
      </c>
      <c r="L78" s="171">
        <f t="shared" si="28"/>
        <v>413.7931034482759</v>
      </c>
      <c r="M78" s="160">
        <f t="shared" si="24"/>
        <v>413.7931034482759</v>
      </c>
      <c r="N78" s="160">
        <f t="shared" si="24"/>
        <v>413.7931034482759</v>
      </c>
      <c r="O78" s="160">
        <f t="shared" si="24"/>
        <v>413.7931034482759</v>
      </c>
      <c r="P78" s="161">
        <f t="shared" si="24"/>
        <v>413.7931034482759</v>
      </c>
      <c r="Q78" s="159">
        <f t="shared" si="25"/>
        <v>413.7931034482759</v>
      </c>
      <c r="R78" s="161">
        <f t="shared" si="25"/>
        <v>413.7931034482759</v>
      </c>
      <c r="S78" s="159">
        <f t="shared" si="26"/>
        <v>413.7931034482759</v>
      </c>
      <c r="T78" s="160">
        <f t="shared" si="26"/>
        <v>413.7931034482759</v>
      </c>
      <c r="U78" s="160">
        <f t="shared" si="26"/>
        <v>413.7931034482759</v>
      </c>
      <c r="V78" s="160">
        <f t="shared" si="26"/>
        <v>413.7931034482759</v>
      </c>
      <c r="W78" s="161">
        <f t="shared" si="26"/>
        <v>413.7931034482759</v>
      </c>
      <c r="X78" s="142" t="s">
        <v>97</v>
      </c>
    </row>
    <row r="79" spans="1:24" ht="15" customHeight="1">
      <c r="A79" s="155" t="s">
        <v>5</v>
      </c>
      <c r="B79" s="209">
        <v>0.01</v>
      </c>
      <c r="C79" s="210">
        <v>0.04</v>
      </c>
      <c r="D79" s="209">
        <f t="shared" si="16"/>
        <v>0.04</v>
      </c>
      <c r="E79" s="216">
        <f>D79</f>
        <v>0.04</v>
      </c>
      <c r="F79" s="159">
        <f t="shared" si="23"/>
        <v>162.42159228520805</v>
      </c>
      <c r="G79" s="160">
        <f t="shared" si="23"/>
        <v>164.04580820806012</v>
      </c>
      <c r="H79" s="160">
        <f t="shared" si="23"/>
        <v>165.68626629014074</v>
      </c>
      <c r="I79" s="160">
        <f t="shared" si="23"/>
        <v>167.34312895304214</v>
      </c>
      <c r="J79" s="160">
        <f t="shared" si="23"/>
        <v>169.01656024257255</v>
      </c>
      <c r="K79" s="160">
        <f t="shared" si="23"/>
        <v>170.7067258449983</v>
      </c>
      <c r="L79" s="171">
        <f t="shared" si="28"/>
        <v>172.41379310344828</v>
      </c>
      <c r="M79" s="160">
        <f t="shared" si="24"/>
        <v>179.31034482758622</v>
      </c>
      <c r="N79" s="160">
        <f t="shared" si="24"/>
        <v>186.48275862068968</v>
      </c>
      <c r="O79" s="160">
        <f t="shared" si="24"/>
        <v>193.94206896551728</v>
      </c>
      <c r="P79" s="161">
        <f t="shared" si="24"/>
        <v>201.69975172413797</v>
      </c>
      <c r="Q79" s="159">
        <f t="shared" si="25"/>
        <v>209.76774179310348</v>
      </c>
      <c r="R79" s="161">
        <f t="shared" si="25"/>
        <v>218.15845146482764</v>
      </c>
      <c r="S79" s="159">
        <f t="shared" si="26"/>
        <v>226.88478952342075</v>
      </c>
      <c r="T79" s="160">
        <f t="shared" si="26"/>
        <v>235.9601811043576</v>
      </c>
      <c r="U79" s="160">
        <f t="shared" si="26"/>
        <v>245.3985883485319</v>
      </c>
      <c r="V79" s="160">
        <f t="shared" si="26"/>
        <v>255.21453188247318</v>
      </c>
      <c r="W79" s="161">
        <f t="shared" si="26"/>
        <v>265.4231131577721</v>
      </c>
      <c r="X79" s="142" t="s">
        <v>124</v>
      </c>
    </row>
    <row r="80" spans="1:24" ht="14.4" customHeight="1">
      <c r="A80" s="155" t="s">
        <v>33</v>
      </c>
      <c r="B80" s="209">
        <v>0.03</v>
      </c>
      <c r="C80" s="210">
        <v>0.04</v>
      </c>
      <c r="D80" s="209">
        <f t="shared" si="16"/>
        <v>0.04</v>
      </c>
      <c r="E80" s="210">
        <f t="shared" si="17"/>
        <v>0.04</v>
      </c>
      <c r="F80" s="159">
        <f t="shared" si="23"/>
        <v>231.03013977480123</v>
      </c>
      <c r="G80" s="160">
        <f t="shared" si="23"/>
        <v>237.96104396804526</v>
      </c>
      <c r="H80" s="160">
        <f t="shared" si="23"/>
        <v>245.09987528708663</v>
      </c>
      <c r="I80" s="160">
        <f t="shared" si="23"/>
        <v>252.45287154569922</v>
      </c>
      <c r="J80" s="160">
        <f t="shared" si="23"/>
        <v>260.0264576920702</v>
      </c>
      <c r="K80" s="160">
        <f t="shared" si="23"/>
        <v>267.8272514228323</v>
      </c>
      <c r="L80" s="171">
        <f t="shared" si="28"/>
        <v>275.86206896551727</v>
      </c>
      <c r="M80" s="160">
        <f t="shared" si="24"/>
        <v>286.89655172413796</v>
      </c>
      <c r="N80" s="160">
        <f t="shared" si="24"/>
        <v>298.3724137931035</v>
      </c>
      <c r="O80" s="160">
        <f t="shared" si="24"/>
        <v>310.3073103448276</v>
      </c>
      <c r="P80" s="161">
        <f t="shared" si="24"/>
        <v>322.71960275862074</v>
      </c>
      <c r="Q80" s="159">
        <f t="shared" si="25"/>
        <v>335.6283868689656</v>
      </c>
      <c r="R80" s="161">
        <f t="shared" si="25"/>
        <v>349.05352234372424</v>
      </c>
      <c r="S80" s="159">
        <f t="shared" si="26"/>
        <v>363.01566323747323</v>
      </c>
      <c r="T80" s="160">
        <f t="shared" si="26"/>
        <v>377.5362897669722</v>
      </c>
      <c r="U80" s="160">
        <f t="shared" si="26"/>
        <v>392.63774135765107</v>
      </c>
      <c r="V80" s="160">
        <f t="shared" si="26"/>
        <v>408.34325101195714</v>
      </c>
      <c r="W80" s="161">
        <f t="shared" si="26"/>
        <v>424.67698105243545</v>
      </c>
      <c r="X80" s="142" t="s">
        <v>97</v>
      </c>
    </row>
    <row r="81" spans="1:24" ht="15" customHeight="1">
      <c r="A81" s="155" t="s">
        <v>101</v>
      </c>
      <c r="B81" s="209">
        <v>0.1</v>
      </c>
      <c r="C81" s="210">
        <v>0.08</v>
      </c>
      <c r="D81" s="209">
        <f t="shared" si="16"/>
        <v>0.08</v>
      </c>
      <c r="E81" s="210">
        <f t="shared" si="17"/>
        <v>0.08</v>
      </c>
      <c r="F81" s="159">
        <f t="shared" si="23"/>
        <v>2530.400376103139</v>
      </c>
      <c r="G81" s="160">
        <f t="shared" si="23"/>
        <v>2783.440413713453</v>
      </c>
      <c r="H81" s="160">
        <f t="shared" si="23"/>
        <v>3061.7844550847985</v>
      </c>
      <c r="I81" s="160">
        <f t="shared" si="23"/>
        <v>3367.962900593279</v>
      </c>
      <c r="J81" s="160">
        <f t="shared" si="23"/>
        <v>3704.7591906526072</v>
      </c>
      <c r="K81" s="160">
        <f t="shared" si="23"/>
        <v>4075.2351097178685</v>
      </c>
      <c r="L81" s="171">
        <f t="shared" si="28"/>
        <v>4482.758620689656</v>
      </c>
      <c r="M81" s="160">
        <f t="shared" si="24"/>
        <v>4841.379310344829</v>
      </c>
      <c r="N81" s="160">
        <f t="shared" si="24"/>
        <v>5228.689655172416</v>
      </c>
      <c r="O81" s="160">
        <f t="shared" si="24"/>
        <v>5646.98482758621</v>
      </c>
      <c r="P81" s="161">
        <f t="shared" si="24"/>
        <v>6098.743613793106</v>
      </c>
      <c r="Q81" s="159">
        <f t="shared" si="25"/>
        <v>6586.643102896555</v>
      </c>
      <c r="R81" s="161">
        <f t="shared" si="25"/>
        <v>7113.57455112828</v>
      </c>
      <c r="S81" s="159">
        <f t="shared" si="26"/>
        <v>7682.660515218543</v>
      </c>
      <c r="T81" s="160">
        <f t="shared" si="26"/>
        <v>8297.273356436028</v>
      </c>
      <c r="U81" s="160">
        <f t="shared" si="26"/>
        <v>8961.055224950911</v>
      </c>
      <c r="V81" s="160">
        <f t="shared" si="26"/>
        <v>9677.939642946985</v>
      </c>
      <c r="W81" s="161">
        <f t="shared" si="26"/>
        <v>10452.174814382744</v>
      </c>
      <c r="X81" s="142" t="s">
        <v>125</v>
      </c>
    </row>
    <row r="82" spans="1:24" ht="15" customHeight="1">
      <c r="A82" s="178" t="s">
        <v>16</v>
      </c>
      <c r="B82" s="217">
        <v>0.03</v>
      </c>
      <c r="C82" s="218">
        <v>0.03</v>
      </c>
      <c r="D82" s="217">
        <f t="shared" si="16"/>
        <v>0.03</v>
      </c>
      <c r="E82" s="218">
        <f t="shared" si="17"/>
        <v>0.03</v>
      </c>
      <c r="F82" s="219">
        <f t="shared" si="23"/>
        <v>144.39383735925077</v>
      </c>
      <c r="G82" s="220">
        <f t="shared" si="23"/>
        <v>148.7256524800283</v>
      </c>
      <c r="H82" s="220">
        <f t="shared" si="23"/>
        <v>153.18742205442913</v>
      </c>
      <c r="I82" s="220">
        <f t="shared" si="23"/>
        <v>157.78304471606202</v>
      </c>
      <c r="J82" s="220">
        <f t="shared" si="23"/>
        <v>162.51653605754387</v>
      </c>
      <c r="K82" s="220">
        <f t="shared" si="23"/>
        <v>167.39203213927019</v>
      </c>
      <c r="L82" s="221">
        <f t="shared" si="28"/>
        <v>172.41379310344828</v>
      </c>
      <c r="M82" s="220">
        <f t="shared" si="24"/>
        <v>177.58620689655174</v>
      </c>
      <c r="N82" s="220">
        <f t="shared" si="24"/>
        <v>182.9137931034483</v>
      </c>
      <c r="O82" s="220">
        <f t="shared" si="24"/>
        <v>188.40120689655177</v>
      </c>
      <c r="P82" s="222">
        <f t="shared" si="24"/>
        <v>194.05324310344832</v>
      </c>
      <c r="Q82" s="219">
        <f t="shared" si="25"/>
        <v>199.87484039655178</v>
      </c>
      <c r="R82" s="222">
        <f t="shared" si="25"/>
        <v>205.87108560844834</v>
      </c>
      <c r="S82" s="219">
        <f t="shared" si="26"/>
        <v>212.0472181767018</v>
      </c>
      <c r="T82" s="220">
        <f t="shared" si="26"/>
        <v>218.40863472200286</v>
      </c>
      <c r="U82" s="220">
        <f t="shared" si="26"/>
        <v>224.96089376366294</v>
      </c>
      <c r="V82" s="220">
        <f t="shared" si="26"/>
        <v>231.70972057657283</v>
      </c>
      <c r="W82" s="222">
        <f>V82*(1+$E82)</f>
        <v>238.66101219387002</v>
      </c>
      <c r="X82" s="142" t="s">
        <v>97</v>
      </c>
    </row>
    <row r="83" spans="3:24" ht="25.25" customHeight="1">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3" ht="27.75" customHeight="1">
      <c r="A84" s="151" t="s">
        <v>126</v>
      </c>
      <c r="B84" s="153" t="s">
        <v>70</v>
      </c>
      <c r="C84" s="154" t="s">
        <v>71</v>
      </c>
      <c r="D84" s="153" t="s">
        <v>72</v>
      </c>
      <c r="E84" s="154" t="s">
        <v>73</v>
      </c>
      <c r="F84" s="153">
        <v>2013</v>
      </c>
      <c r="G84" s="152">
        <v>2014</v>
      </c>
      <c r="H84" s="152">
        <v>2015</v>
      </c>
      <c r="I84" s="152">
        <v>2016</v>
      </c>
      <c r="J84" s="152">
        <v>2017</v>
      </c>
      <c r="K84" s="152">
        <v>2018</v>
      </c>
      <c r="L84" s="152">
        <v>2019</v>
      </c>
      <c r="M84" s="152">
        <v>2020</v>
      </c>
      <c r="N84" s="152">
        <v>2021</v>
      </c>
      <c r="O84" s="152">
        <v>2022</v>
      </c>
      <c r="P84" s="154">
        <v>2023</v>
      </c>
      <c r="Q84" s="153">
        <v>2024</v>
      </c>
      <c r="R84" s="154">
        <v>2025</v>
      </c>
      <c r="S84" s="153">
        <v>2026</v>
      </c>
      <c r="T84" s="152">
        <v>2027</v>
      </c>
      <c r="U84" s="152">
        <v>2028</v>
      </c>
      <c r="V84" s="152">
        <v>2029</v>
      </c>
      <c r="W84" s="154">
        <v>2030</v>
      </c>
    </row>
    <row r="85" spans="1:24" ht="15" customHeight="1">
      <c r="A85" s="155" t="s">
        <v>74</v>
      </c>
      <c r="B85" s="209">
        <v>-0.05</v>
      </c>
      <c r="C85" s="210">
        <v>-0.01</v>
      </c>
      <c r="D85" s="209">
        <f t="shared" si="16"/>
        <v>-0.01</v>
      </c>
      <c r="E85" s="210">
        <f t="shared" si="17"/>
        <v>-0.01</v>
      </c>
      <c r="F85" s="159">
        <f t="shared" si="23"/>
        <v>635.2947243139098</v>
      </c>
      <c r="G85" s="160">
        <f aca="true" t="shared" si="30" ref="G85:K86">H85/(1+$B85)</f>
        <v>603.5299880982143</v>
      </c>
      <c r="H85" s="171">
        <f t="shared" si="30"/>
        <v>573.3534886933036</v>
      </c>
      <c r="I85" s="160">
        <f t="shared" si="30"/>
        <v>544.6858142586384</v>
      </c>
      <c r="J85" s="160">
        <f t="shared" si="30"/>
        <v>517.4515235457064</v>
      </c>
      <c r="K85" s="160">
        <f t="shared" si="30"/>
        <v>491.5789473684211</v>
      </c>
      <c r="L85" s="168">
        <v>467</v>
      </c>
      <c r="M85" s="160">
        <f t="shared" si="24"/>
        <v>462.33</v>
      </c>
      <c r="N85" s="160">
        <f t="shared" si="24"/>
        <v>457.70669999999996</v>
      </c>
      <c r="O85" s="168">
        <f t="shared" si="24"/>
        <v>453.12963299999996</v>
      </c>
      <c r="P85" s="169">
        <f t="shared" si="24"/>
        <v>448.5983366699999</v>
      </c>
      <c r="Q85" s="170">
        <f t="shared" si="25"/>
        <v>444.1123533032999</v>
      </c>
      <c r="R85" s="169">
        <f>Q85*(1+$D85)</f>
        <v>439.6712297702669</v>
      </c>
      <c r="S85" s="170">
        <f t="shared" si="26"/>
        <v>435.27451747256424</v>
      </c>
      <c r="T85" s="168">
        <f aca="true" t="shared" si="31" ref="T85:W85">S85*(1+$E85)</f>
        <v>430.9217722978386</v>
      </c>
      <c r="U85" s="168">
        <f t="shared" si="31"/>
        <v>426.61255457486016</v>
      </c>
      <c r="V85" s="168">
        <f t="shared" si="31"/>
        <v>422.34642902911156</v>
      </c>
      <c r="W85" s="169">
        <f t="shared" si="31"/>
        <v>418.12296473882043</v>
      </c>
      <c r="X85" s="142" t="s">
        <v>127</v>
      </c>
    </row>
    <row r="86" spans="1:24" ht="15" customHeight="1">
      <c r="A86" s="155" t="s">
        <v>76</v>
      </c>
      <c r="B86" s="209">
        <v>0</v>
      </c>
      <c r="C86" s="210">
        <v>0</v>
      </c>
      <c r="D86" s="209">
        <f t="shared" si="16"/>
        <v>0</v>
      </c>
      <c r="E86" s="210">
        <f t="shared" si="17"/>
        <v>0</v>
      </c>
      <c r="F86" s="159">
        <f t="shared" si="23"/>
        <v>850</v>
      </c>
      <c r="G86" s="160">
        <f t="shared" si="30"/>
        <v>850</v>
      </c>
      <c r="H86" s="160">
        <f t="shared" si="30"/>
        <v>850</v>
      </c>
      <c r="I86" s="160">
        <f t="shared" si="30"/>
        <v>850</v>
      </c>
      <c r="J86" s="160">
        <f t="shared" si="30"/>
        <v>850</v>
      </c>
      <c r="K86" s="160">
        <f t="shared" si="30"/>
        <v>850</v>
      </c>
      <c r="L86" s="190">
        <v>850</v>
      </c>
      <c r="M86" s="160">
        <f t="shared" si="24"/>
        <v>850</v>
      </c>
      <c r="N86" s="160">
        <f t="shared" si="24"/>
        <v>850</v>
      </c>
      <c r="O86" s="168">
        <f t="shared" si="24"/>
        <v>850</v>
      </c>
      <c r="P86" s="169">
        <f t="shared" si="24"/>
        <v>850</v>
      </c>
      <c r="Q86" s="170">
        <f t="shared" si="25"/>
        <v>850</v>
      </c>
      <c r="R86" s="169">
        <f t="shared" si="25"/>
        <v>850</v>
      </c>
      <c r="S86" s="170">
        <f t="shared" si="26"/>
        <v>850</v>
      </c>
      <c r="T86" s="168">
        <f t="shared" si="26"/>
        <v>850</v>
      </c>
      <c r="U86" s="168">
        <f t="shared" si="26"/>
        <v>850</v>
      </c>
      <c r="V86" s="168">
        <f t="shared" si="26"/>
        <v>850</v>
      </c>
      <c r="W86" s="169">
        <f t="shared" si="26"/>
        <v>850</v>
      </c>
      <c r="X86" s="142" t="s">
        <v>128</v>
      </c>
    </row>
    <row r="87" spans="1:24" ht="15" customHeight="1">
      <c r="A87" s="155" t="s">
        <v>78</v>
      </c>
      <c r="B87" s="209">
        <v>-0.01</v>
      </c>
      <c r="C87" s="210">
        <v>0.01</v>
      </c>
      <c r="D87" s="209">
        <f t="shared" si="16"/>
        <v>0.01</v>
      </c>
      <c r="E87" s="210">
        <f t="shared" si="17"/>
        <v>0.01</v>
      </c>
      <c r="F87" s="159">
        <f t="shared" si="23"/>
        <v>884.7770189631524</v>
      </c>
      <c r="G87" s="160">
        <f t="shared" si="23"/>
        <v>875.9292487735208</v>
      </c>
      <c r="H87" s="160">
        <f t="shared" si="23"/>
        <v>867.1699562857856</v>
      </c>
      <c r="I87" s="171">
        <f t="shared" si="23"/>
        <v>858.4982567229277</v>
      </c>
      <c r="J87" s="171">
        <f t="shared" si="23"/>
        <v>849.9132741556984</v>
      </c>
      <c r="K87" s="160">
        <f t="shared" si="23"/>
        <v>841.4141414141415</v>
      </c>
      <c r="L87" s="168">
        <f>1300-L85</f>
        <v>833</v>
      </c>
      <c r="M87" s="160">
        <f t="shared" si="24"/>
        <v>841.33</v>
      </c>
      <c r="N87" s="160">
        <f t="shared" si="24"/>
        <v>849.7433000000001</v>
      </c>
      <c r="O87" s="168">
        <f t="shared" si="24"/>
        <v>858.2407330000001</v>
      </c>
      <c r="P87" s="169">
        <f t="shared" si="24"/>
        <v>866.8231403300001</v>
      </c>
      <c r="Q87" s="170">
        <f t="shared" si="25"/>
        <v>875.4913717333001</v>
      </c>
      <c r="R87" s="169">
        <f t="shared" si="25"/>
        <v>884.2462854506331</v>
      </c>
      <c r="S87" s="170">
        <f t="shared" si="26"/>
        <v>893.0887483051395</v>
      </c>
      <c r="T87" s="168">
        <f t="shared" si="26"/>
        <v>902.0196357881908</v>
      </c>
      <c r="U87" s="168">
        <f t="shared" si="26"/>
        <v>911.0398321460727</v>
      </c>
      <c r="V87" s="168">
        <f t="shared" si="26"/>
        <v>920.1502304675334</v>
      </c>
      <c r="W87" s="169">
        <f t="shared" si="26"/>
        <v>929.3517327722088</v>
      </c>
      <c r="X87" s="142" t="s">
        <v>129</v>
      </c>
    </row>
    <row r="88" spans="1:24" ht="15" customHeight="1">
      <c r="A88" s="155" t="s">
        <v>79</v>
      </c>
      <c r="B88" s="209">
        <v>0.01</v>
      </c>
      <c r="C88" s="210">
        <v>0.01</v>
      </c>
      <c r="D88" s="209">
        <f t="shared" si="16"/>
        <v>0.01</v>
      </c>
      <c r="E88" s="210">
        <f t="shared" si="17"/>
        <v>0.01</v>
      </c>
      <c r="F88" s="159">
        <f t="shared" si="23"/>
        <v>659.4316646779448</v>
      </c>
      <c r="G88" s="160">
        <f t="shared" si="23"/>
        <v>666.0259813247243</v>
      </c>
      <c r="H88" s="160">
        <f t="shared" si="23"/>
        <v>672.6862411379715</v>
      </c>
      <c r="I88" s="160">
        <f t="shared" si="23"/>
        <v>679.4131035493511</v>
      </c>
      <c r="J88" s="160">
        <f t="shared" si="23"/>
        <v>686.2072345848446</v>
      </c>
      <c r="K88" s="160">
        <f t="shared" si="23"/>
        <v>693.0693069306931</v>
      </c>
      <c r="L88" s="190">
        <v>700</v>
      </c>
      <c r="M88" s="160">
        <f t="shared" si="24"/>
        <v>707</v>
      </c>
      <c r="N88" s="160">
        <f t="shared" si="24"/>
        <v>714.07</v>
      </c>
      <c r="O88" s="168">
        <f t="shared" si="24"/>
        <v>721.2107000000001</v>
      </c>
      <c r="P88" s="169">
        <f t="shared" si="24"/>
        <v>728.4228070000001</v>
      </c>
      <c r="Q88" s="170">
        <f t="shared" si="25"/>
        <v>735.7070350700002</v>
      </c>
      <c r="R88" s="169">
        <f t="shared" si="25"/>
        <v>743.0641054207002</v>
      </c>
      <c r="S88" s="170">
        <f t="shared" si="26"/>
        <v>750.4947464749073</v>
      </c>
      <c r="T88" s="168">
        <f t="shared" si="26"/>
        <v>757.9996939396564</v>
      </c>
      <c r="U88" s="168">
        <f t="shared" si="26"/>
        <v>765.5796908790529</v>
      </c>
      <c r="V88" s="168">
        <f t="shared" si="26"/>
        <v>773.2354877878435</v>
      </c>
      <c r="W88" s="169">
        <f t="shared" si="26"/>
        <v>780.967842665722</v>
      </c>
      <c r="X88" s="142" t="s">
        <v>130</v>
      </c>
    </row>
    <row r="89" spans="1:24" ht="15" customHeight="1">
      <c r="A89" s="155" t="s">
        <v>81</v>
      </c>
      <c r="B89" s="209">
        <v>0.1</v>
      </c>
      <c r="C89" s="210">
        <v>0.02</v>
      </c>
      <c r="D89" s="209">
        <f aca="true" t="shared" si="32" ref="D89:D101">C89</f>
        <v>0.02</v>
      </c>
      <c r="E89" s="210">
        <f aca="true" t="shared" si="33" ref="E89:E101">C89</f>
        <v>0.02</v>
      </c>
      <c r="F89" s="159">
        <f t="shared" si="23"/>
        <v>626.5660623596928</v>
      </c>
      <c r="G89" s="160">
        <f t="shared" si="23"/>
        <v>689.2226685956621</v>
      </c>
      <c r="H89" s="168">
        <f t="shared" si="23"/>
        <v>758.1449354552283</v>
      </c>
      <c r="I89" s="168">
        <f t="shared" si="23"/>
        <v>833.9594290007511</v>
      </c>
      <c r="J89" s="160">
        <f t="shared" si="23"/>
        <v>917.3553719008263</v>
      </c>
      <c r="K89" s="160">
        <f t="shared" si="23"/>
        <v>1009.090909090909</v>
      </c>
      <c r="L89" s="171">
        <v>1110</v>
      </c>
      <c r="M89" s="160">
        <f t="shared" si="24"/>
        <v>1132.2</v>
      </c>
      <c r="N89" s="160">
        <f t="shared" si="24"/>
        <v>1154.844</v>
      </c>
      <c r="O89" s="168">
        <f t="shared" si="24"/>
        <v>1177.94088</v>
      </c>
      <c r="P89" s="169">
        <f t="shared" si="24"/>
        <v>1201.4996976000002</v>
      </c>
      <c r="Q89" s="170">
        <f t="shared" si="25"/>
        <v>1225.5296915520003</v>
      </c>
      <c r="R89" s="169">
        <f t="shared" si="25"/>
        <v>1250.0402853830403</v>
      </c>
      <c r="S89" s="170">
        <f t="shared" si="26"/>
        <v>1275.0410910907012</v>
      </c>
      <c r="T89" s="168">
        <f t="shared" si="26"/>
        <v>1300.5419129125153</v>
      </c>
      <c r="U89" s="168">
        <f t="shared" si="26"/>
        <v>1326.5527511707655</v>
      </c>
      <c r="V89" s="168">
        <f t="shared" si="26"/>
        <v>1353.0838061941809</v>
      </c>
      <c r="W89" s="169">
        <f t="shared" si="26"/>
        <v>1380.1454823180645</v>
      </c>
      <c r="X89" s="142" t="s">
        <v>130</v>
      </c>
    </row>
    <row r="90" spans="1:24" ht="15" customHeight="1">
      <c r="A90" s="155" t="s">
        <v>30</v>
      </c>
      <c r="B90" s="209">
        <v>0.09</v>
      </c>
      <c r="C90" s="210">
        <v>0.07</v>
      </c>
      <c r="D90" s="209">
        <f t="shared" si="32"/>
        <v>0.07</v>
      </c>
      <c r="E90" s="225">
        <f>'Update Scenarios'!D8</f>
        <v>0.05</v>
      </c>
      <c r="F90" s="159">
        <f t="shared" si="23"/>
        <v>2558.583099638715</v>
      </c>
      <c r="G90" s="160">
        <f t="shared" si="23"/>
        <v>2788.8555786061993</v>
      </c>
      <c r="H90" s="171">
        <f t="shared" si="23"/>
        <v>3039.8525806807575</v>
      </c>
      <c r="I90" s="160">
        <f t="shared" si="23"/>
        <v>3313.439312942026</v>
      </c>
      <c r="J90" s="160">
        <f t="shared" si="23"/>
        <v>3611.6488511068087</v>
      </c>
      <c r="K90" s="171">
        <f t="shared" si="23"/>
        <v>3936.697247706422</v>
      </c>
      <c r="L90" s="160">
        <v>4291</v>
      </c>
      <c r="M90" s="160">
        <f t="shared" si="24"/>
        <v>4591.37</v>
      </c>
      <c r="N90" s="160">
        <f t="shared" si="24"/>
        <v>4912.7659</v>
      </c>
      <c r="O90" s="168">
        <f t="shared" si="24"/>
        <v>5256.6595130000005</v>
      </c>
      <c r="P90" s="226">
        <f t="shared" si="24"/>
        <v>5624.625678910001</v>
      </c>
      <c r="Q90" s="170">
        <f t="shared" si="25"/>
        <v>6018.349476433701</v>
      </c>
      <c r="R90" s="169">
        <f t="shared" si="25"/>
        <v>6439.63393978406</v>
      </c>
      <c r="S90" s="170">
        <f t="shared" si="26"/>
        <v>6761.615636773264</v>
      </c>
      <c r="T90" s="168">
        <f t="shared" si="26"/>
        <v>7099.696418611928</v>
      </c>
      <c r="U90" s="168">
        <f t="shared" si="26"/>
        <v>7454.681239542524</v>
      </c>
      <c r="V90" s="168">
        <f t="shared" si="26"/>
        <v>7827.415301519651</v>
      </c>
      <c r="W90" s="169">
        <f t="shared" si="26"/>
        <v>8218.786066595634</v>
      </c>
      <c r="X90" s="142" t="s">
        <v>131</v>
      </c>
    </row>
    <row r="91" spans="1:24" ht="15" customHeight="1">
      <c r="A91" s="155" t="s">
        <v>84</v>
      </c>
      <c r="B91" s="209">
        <v>0.1</v>
      </c>
      <c r="C91" s="210">
        <v>0.09</v>
      </c>
      <c r="D91" s="209">
        <f t="shared" si="32"/>
        <v>0.09</v>
      </c>
      <c r="E91" s="210">
        <f t="shared" si="33"/>
        <v>0.09</v>
      </c>
      <c r="F91" s="159">
        <f t="shared" si="23"/>
        <v>358.4409455841485</v>
      </c>
      <c r="G91" s="160">
        <f t="shared" si="23"/>
        <v>394.2850401425634</v>
      </c>
      <c r="H91" s="160">
        <f t="shared" si="23"/>
        <v>433.71354415681975</v>
      </c>
      <c r="I91" s="171">
        <f t="shared" si="23"/>
        <v>477.08489857250174</v>
      </c>
      <c r="J91" s="160">
        <f t="shared" si="23"/>
        <v>524.793388429752</v>
      </c>
      <c r="K91" s="160">
        <f t="shared" si="23"/>
        <v>577.2727272727273</v>
      </c>
      <c r="L91" s="171">
        <v>635</v>
      </c>
      <c r="M91" s="160">
        <f t="shared" si="24"/>
        <v>692.1500000000001</v>
      </c>
      <c r="N91" s="171">
        <f t="shared" si="24"/>
        <v>754.4435000000002</v>
      </c>
      <c r="O91" s="168">
        <f t="shared" si="24"/>
        <v>822.3434150000003</v>
      </c>
      <c r="P91" s="169">
        <f t="shared" si="24"/>
        <v>896.3543223500004</v>
      </c>
      <c r="Q91" s="170">
        <f t="shared" si="25"/>
        <v>977.0262113615005</v>
      </c>
      <c r="R91" s="169">
        <f t="shared" si="25"/>
        <v>1064.9585703840355</v>
      </c>
      <c r="S91" s="170">
        <f t="shared" si="26"/>
        <v>1160.8048417185987</v>
      </c>
      <c r="T91" s="168">
        <f t="shared" si="26"/>
        <v>1265.2772774732728</v>
      </c>
      <c r="U91" s="168">
        <f t="shared" si="26"/>
        <v>1379.1522324458674</v>
      </c>
      <c r="V91" s="168">
        <f t="shared" si="26"/>
        <v>1503.2759333659956</v>
      </c>
      <c r="W91" s="169">
        <f t="shared" si="26"/>
        <v>1638.5707673689353</v>
      </c>
      <c r="X91" s="142" t="s">
        <v>132</v>
      </c>
    </row>
    <row r="92" spans="1:24" ht="15" customHeight="1">
      <c r="A92" s="155" t="s">
        <v>86</v>
      </c>
      <c r="B92" s="209">
        <v>-0.15</v>
      </c>
      <c r="C92" s="210">
        <v>-0.09</v>
      </c>
      <c r="D92" s="209">
        <f t="shared" si="32"/>
        <v>-0.09</v>
      </c>
      <c r="E92" s="210">
        <f t="shared" si="33"/>
        <v>-0.09</v>
      </c>
      <c r="F92" s="159">
        <f t="shared" si="23"/>
        <v>5732.474550357578</v>
      </c>
      <c r="G92" s="160">
        <f t="shared" si="23"/>
        <v>4872.603367803941</v>
      </c>
      <c r="H92" s="160">
        <f t="shared" si="23"/>
        <v>4141.71286263335</v>
      </c>
      <c r="I92" s="160">
        <f t="shared" si="23"/>
        <v>3520.4559332383474</v>
      </c>
      <c r="J92" s="160">
        <f t="shared" si="23"/>
        <v>2992.387543252595</v>
      </c>
      <c r="K92" s="171">
        <f t="shared" si="23"/>
        <v>2543.529411764706</v>
      </c>
      <c r="L92" s="171">
        <v>2162</v>
      </c>
      <c r="M92" s="160">
        <f t="shared" si="24"/>
        <v>1967.42</v>
      </c>
      <c r="N92" s="160">
        <f t="shared" si="24"/>
        <v>1790.3522</v>
      </c>
      <c r="O92" s="168">
        <f t="shared" si="24"/>
        <v>1629.2205020000001</v>
      </c>
      <c r="P92" s="226">
        <f t="shared" si="24"/>
        <v>1482.5906568200003</v>
      </c>
      <c r="Q92" s="170">
        <f t="shared" si="25"/>
        <v>1349.1574977062003</v>
      </c>
      <c r="R92" s="169">
        <f t="shared" si="25"/>
        <v>1227.7333229126423</v>
      </c>
      <c r="S92" s="170">
        <f t="shared" si="26"/>
        <v>1117.2373238505045</v>
      </c>
      <c r="T92" s="168">
        <f t="shared" si="26"/>
        <v>1016.6859647039591</v>
      </c>
      <c r="U92" s="168">
        <f t="shared" si="26"/>
        <v>925.1842278806029</v>
      </c>
      <c r="V92" s="168">
        <f t="shared" si="26"/>
        <v>841.9176473713486</v>
      </c>
      <c r="W92" s="169">
        <f t="shared" si="26"/>
        <v>766.1450591079273</v>
      </c>
      <c r="X92" s="142" t="s">
        <v>133</v>
      </c>
    </row>
    <row r="93" spans="1:24" ht="15" customHeight="1">
      <c r="A93" s="212" t="s">
        <v>88</v>
      </c>
      <c r="B93" s="209">
        <v>0.25</v>
      </c>
      <c r="C93" s="227">
        <v>0.17</v>
      </c>
      <c r="D93" s="209">
        <f t="shared" si="32"/>
        <v>0.17</v>
      </c>
      <c r="E93" s="210">
        <f t="shared" si="33"/>
        <v>0.17</v>
      </c>
      <c r="F93" s="159">
        <f t="shared" si="23"/>
        <v>2175.7952</v>
      </c>
      <c r="G93" s="160">
        <f t="shared" si="23"/>
        <v>2719.744</v>
      </c>
      <c r="H93" s="168">
        <f t="shared" si="23"/>
        <v>3399.6800000000003</v>
      </c>
      <c r="I93" s="168">
        <f t="shared" si="23"/>
        <v>4249.6</v>
      </c>
      <c r="J93" s="190">
        <f t="shared" si="23"/>
        <v>5312</v>
      </c>
      <c r="K93" s="168">
        <f t="shared" si="23"/>
        <v>6640</v>
      </c>
      <c r="L93" s="190">
        <v>8300</v>
      </c>
      <c r="M93" s="168">
        <f t="shared" si="24"/>
        <v>9711</v>
      </c>
      <c r="N93" s="160">
        <f t="shared" si="24"/>
        <v>11361.869999999999</v>
      </c>
      <c r="O93" s="168">
        <f t="shared" si="24"/>
        <v>13293.387899999998</v>
      </c>
      <c r="P93" s="169">
        <f t="shared" si="24"/>
        <v>15553.263842999997</v>
      </c>
      <c r="Q93" s="170">
        <f t="shared" si="25"/>
        <v>18197.318696309994</v>
      </c>
      <c r="R93" s="169">
        <f t="shared" si="25"/>
        <v>21290.86287468269</v>
      </c>
      <c r="S93" s="170">
        <f t="shared" si="26"/>
        <v>24910.309563378745</v>
      </c>
      <c r="T93" s="168">
        <f t="shared" si="26"/>
        <v>29145.06218915313</v>
      </c>
      <c r="U93" s="168">
        <f t="shared" si="26"/>
        <v>34099.72276130916</v>
      </c>
      <c r="V93" s="168">
        <f t="shared" si="26"/>
        <v>39896.67563073171</v>
      </c>
      <c r="W93" s="169">
        <f t="shared" si="26"/>
        <v>46679.1104879561</v>
      </c>
      <c r="X93" s="142" t="s">
        <v>134</v>
      </c>
    </row>
    <row r="94" spans="1:26" ht="15" customHeight="1">
      <c r="A94" s="155" t="s">
        <v>90</v>
      </c>
      <c r="B94" s="209">
        <v>0.015</v>
      </c>
      <c r="C94" s="210">
        <v>0.015</v>
      </c>
      <c r="D94" s="209">
        <f t="shared" si="32"/>
        <v>0.015</v>
      </c>
      <c r="E94" s="210">
        <f t="shared" si="33"/>
        <v>0.015</v>
      </c>
      <c r="F94" s="159">
        <f t="shared" si="23"/>
        <v>2170.2086228449098</v>
      </c>
      <c r="G94" s="160">
        <f t="shared" si="23"/>
        <v>2202.761752187583</v>
      </c>
      <c r="H94" s="160">
        <f t="shared" si="23"/>
        <v>2235.8031784703967</v>
      </c>
      <c r="I94" s="193">
        <f t="shared" si="23"/>
        <v>2269.3402261474525</v>
      </c>
      <c r="J94" s="193">
        <f t="shared" si="23"/>
        <v>2303.380329539664</v>
      </c>
      <c r="K94" s="193">
        <f t="shared" si="23"/>
        <v>2337.931034482759</v>
      </c>
      <c r="L94" s="171">
        <v>2373</v>
      </c>
      <c r="M94" s="160">
        <f t="shared" si="24"/>
        <v>2408.595</v>
      </c>
      <c r="N94" s="160">
        <f t="shared" si="24"/>
        <v>2444.723925</v>
      </c>
      <c r="O94" s="168">
        <f t="shared" si="24"/>
        <v>2481.3947838749996</v>
      </c>
      <c r="P94" s="169">
        <f t="shared" si="24"/>
        <v>2518.6157056331244</v>
      </c>
      <c r="Q94" s="170">
        <f t="shared" si="25"/>
        <v>2556.394941217621</v>
      </c>
      <c r="R94" s="169">
        <f t="shared" si="25"/>
        <v>2594.7408653358852</v>
      </c>
      <c r="S94" s="170">
        <f t="shared" si="26"/>
        <v>2633.661978315923</v>
      </c>
      <c r="T94" s="168">
        <f t="shared" si="26"/>
        <v>2673.1669079906615</v>
      </c>
      <c r="U94" s="168">
        <f t="shared" si="26"/>
        <v>2713.264411610521</v>
      </c>
      <c r="V94" s="168">
        <f t="shared" si="26"/>
        <v>2753.963377784679</v>
      </c>
      <c r="W94" s="169">
        <f t="shared" si="26"/>
        <v>2795.2728284514487</v>
      </c>
      <c r="X94" s="142" t="s">
        <v>135</v>
      </c>
      <c r="Z94" s="142">
        <f>1700/1500</f>
        <v>1.1333333333333333</v>
      </c>
    </row>
    <row r="95" spans="1:24" ht="15" customHeight="1">
      <c r="A95" s="155" t="s">
        <v>92</v>
      </c>
      <c r="B95" s="209">
        <v>0.1</v>
      </c>
      <c r="C95" s="210">
        <v>0.1</v>
      </c>
      <c r="D95" s="209">
        <f t="shared" si="32"/>
        <v>0.1</v>
      </c>
      <c r="E95" s="210">
        <f t="shared" si="33"/>
        <v>0.1</v>
      </c>
      <c r="F95" s="159">
        <f t="shared" si="23"/>
        <v>310.4606615295774</v>
      </c>
      <c r="G95" s="160">
        <f t="shared" si="23"/>
        <v>341.5067276825352</v>
      </c>
      <c r="H95" s="160">
        <f t="shared" si="23"/>
        <v>375.65740045078877</v>
      </c>
      <c r="I95" s="160">
        <f t="shared" si="23"/>
        <v>413.22314049586765</v>
      </c>
      <c r="J95" s="160">
        <f t="shared" si="23"/>
        <v>454.54545454545445</v>
      </c>
      <c r="K95" s="160">
        <f t="shared" si="23"/>
        <v>499.99999999999994</v>
      </c>
      <c r="L95" s="171">
        <v>550</v>
      </c>
      <c r="M95" s="160">
        <f t="shared" si="24"/>
        <v>605</v>
      </c>
      <c r="N95" s="160">
        <f t="shared" si="24"/>
        <v>665.5</v>
      </c>
      <c r="O95" s="168">
        <f t="shared" si="24"/>
        <v>732.0500000000001</v>
      </c>
      <c r="P95" s="169">
        <f t="shared" si="24"/>
        <v>805.2550000000001</v>
      </c>
      <c r="Q95" s="170">
        <f t="shared" si="25"/>
        <v>885.7805000000002</v>
      </c>
      <c r="R95" s="169">
        <f t="shared" si="25"/>
        <v>974.3585500000003</v>
      </c>
      <c r="S95" s="170">
        <f t="shared" si="26"/>
        <v>1071.7944050000003</v>
      </c>
      <c r="T95" s="168">
        <f t="shared" si="26"/>
        <v>1178.9738455000004</v>
      </c>
      <c r="U95" s="168">
        <f t="shared" si="26"/>
        <v>1296.8712300500006</v>
      </c>
      <c r="V95" s="168">
        <f t="shared" si="26"/>
        <v>1426.5583530550007</v>
      </c>
      <c r="W95" s="169">
        <f t="shared" si="26"/>
        <v>1569.2141883605009</v>
      </c>
      <c r="X95" s="142" t="s">
        <v>136</v>
      </c>
    </row>
    <row r="96" spans="1:24" ht="15" customHeight="1">
      <c r="A96" s="155" t="s">
        <v>94</v>
      </c>
      <c r="B96" s="209">
        <v>0.04</v>
      </c>
      <c r="C96" s="210">
        <v>0.023</v>
      </c>
      <c r="D96" s="209">
        <f t="shared" si="32"/>
        <v>0.023</v>
      </c>
      <c r="E96" s="210">
        <f t="shared" si="33"/>
        <v>0.023</v>
      </c>
      <c r="F96" s="159">
        <f t="shared" si="23"/>
        <v>213.38492194713933</v>
      </c>
      <c r="G96" s="160">
        <f t="shared" si="23"/>
        <v>221.9203188250249</v>
      </c>
      <c r="H96" s="160">
        <f t="shared" si="23"/>
        <v>230.7971315780259</v>
      </c>
      <c r="I96" s="160">
        <f t="shared" si="23"/>
        <v>240.02901684114696</v>
      </c>
      <c r="J96" s="160">
        <f t="shared" si="23"/>
        <v>249.63017751479285</v>
      </c>
      <c r="K96" s="160">
        <f t="shared" si="23"/>
        <v>259.6153846153846</v>
      </c>
      <c r="L96" s="171">
        <v>270</v>
      </c>
      <c r="M96" s="160">
        <f t="shared" si="24"/>
        <v>276.21</v>
      </c>
      <c r="N96" s="160">
        <f t="shared" si="24"/>
        <v>282.56282999999996</v>
      </c>
      <c r="O96" s="168">
        <f t="shared" si="24"/>
        <v>289.0617750899999</v>
      </c>
      <c r="P96" s="169">
        <f t="shared" si="24"/>
        <v>295.7101959170699</v>
      </c>
      <c r="Q96" s="170">
        <f t="shared" si="25"/>
        <v>302.51153042316247</v>
      </c>
      <c r="R96" s="169">
        <f t="shared" si="25"/>
        <v>309.4692956228952</v>
      </c>
      <c r="S96" s="170">
        <f t="shared" si="26"/>
        <v>316.5870894222217</v>
      </c>
      <c r="T96" s="168">
        <f t="shared" si="26"/>
        <v>323.8685924789328</v>
      </c>
      <c r="U96" s="168">
        <f t="shared" si="26"/>
        <v>331.3175701059482</v>
      </c>
      <c r="V96" s="168">
        <f t="shared" si="26"/>
        <v>338.937874218385</v>
      </c>
      <c r="W96" s="169">
        <f t="shared" si="26"/>
        <v>346.73344532540784</v>
      </c>
      <c r="X96" s="142" t="s">
        <v>137</v>
      </c>
    </row>
    <row r="97" spans="1:24" ht="15" customHeight="1">
      <c r="A97" s="155" t="s">
        <v>96</v>
      </c>
      <c r="B97" s="209">
        <v>0.02</v>
      </c>
      <c r="C97" s="210">
        <v>0.02</v>
      </c>
      <c r="D97" s="209">
        <f t="shared" si="32"/>
        <v>0.02</v>
      </c>
      <c r="E97" s="210">
        <f t="shared" si="33"/>
        <v>0.02</v>
      </c>
      <c r="F97" s="159">
        <f t="shared" si="23"/>
        <v>317.00578344047057</v>
      </c>
      <c r="G97" s="160">
        <f t="shared" si="23"/>
        <v>323.34589910927997</v>
      </c>
      <c r="H97" s="160">
        <f t="shared" si="23"/>
        <v>329.81281709146555</v>
      </c>
      <c r="I97" s="160">
        <f t="shared" si="23"/>
        <v>336.40907343329485</v>
      </c>
      <c r="J97" s="160">
        <f t="shared" si="23"/>
        <v>343.1372549019608</v>
      </c>
      <c r="K97" s="160">
        <f t="shared" si="23"/>
        <v>350</v>
      </c>
      <c r="L97" s="171">
        <v>357</v>
      </c>
      <c r="M97" s="160">
        <f t="shared" si="24"/>
        <v>364.14</v>
      </c>
      <c r="N97" s="160">
        <f t="shared" si="24"/>
        <v>371.4228</v>
      </c>
      <c r="O97" s="168">
        <f t="shared" si="24"/>
        <v>378.851256</v>
      </c>
      <c r="P97" s="169">
        <f t="shared" si="24"/>
        <v>386.42828112</v>
      </c>
      <c r="Q97" s="170">
        <f t="shared" si="25"/>
        <v>394.15684674240003</v>
      </c>
      <c r="R97" s="169">
        <f t="shared" si="25"/>
        <v>402.039983677248</v>
      </c>
      <c r="S97" s="170">
        <f t="shared" si="26"/>
        <v>410.080783350793</v>
      </c>
      <c r="T97" s="168">
        <f t="shared" si="26"/>
        <v>418.28239901780887</v>
      </c>
      <c r="U97" s="168">
        <f t="shared" si="26"/>
        <v>426.64804699816506</v>
      </c>
      <c r="V97" s="168">
        <f t="shared" si="26"/>
        <v>435.18100793812835</v>
      </c>
      <c r="W97" s="169">
        <f t="shared" si="26"/>
        <v>443.88462809689094</v>
      </c>
      <c r="X97" s="142" t="s">
        <v>97</v>
      </c>
    </row>
    <row r="98" spans="1:24" ht="15" customHeight="1">
      <c r="A98" s="155" t="s">
        <v>5</v>
      </c>
      <c r="B98" s="209">
        <v>0.5</v>
      </c>
      <c r="C98" s="227">
        <v>0.4</v>
      </c>
      <c r="D98" s="209">
        <f t="shared" si="32"/>
        <v>0.4</v>
      </c>
      <c r="E98" s="225">
        <f>'Update Scenarios'!D5</f>
        <v>0.11</v>
      </c>
      <c r="F98" s="159">
        <f t="shared" si="23"/>
        <v>5.530864197530864</v>
      </c>
      <c r="G98" s="160">
        <f t="shared" si="23"/>
        <v>8.296296296296296</v>
      </c>
      <c r="H98" s="160">
        <f t="shared" si="23"/>
        <v>12.444444444444445</v>
      </c>
      <c r="I98" s="160">
        <f t="shared" si="23"/>
        <v>18.666666666666668</v>
      </c>
      <c r="J98" s="160">
        <f t="shared" si="23"/>
        <v>28</v>
      </c>
      <c r="K98" s="160">
        <f t="shared" si="23"/>
        <v>42</v>
      </c>
      <c r="L98" s="190">
        <v>63</v>
      </c>
      <c r="M98" s="160">
        <f t="shared" si="24"/>
        <v>88.19999999999999</v>
      </c>
      <c r="N98" s="168">
        <f t="shared" si="24"/>
        <v>123.47999999999998</v>
      </c>
      <c r="O98" s="168">
        <f t="shared" si="24"/>
        <v>172.87199999999996</v>
      </c>
      <c r="P98" s="169">
        <f t="shared" si="24"/>
        <v>242.02079999999992</v>
      </c>
      <c r="Q98" s="170">
        <f t="shared" si="25"/>
        <v>338.8291199999999</v>
      </c>
      <c r="R98" s="169">
        <f t="shared" si="25"/>
        <v>474.3607679999998</v>
      </c>
      <c r="S98" s="170">
        <f t="shared" si="26"/>
        <v>526.5404524799998</v>
      </c>
      <c r="T98" s="168">
        <f t="shared" si="26"/>
        <v>584.4599022527998</v>
      </c>
      <c r="U98" s="168">
        <f t="shared" si="26"/>
        <v>648.7504915006078</v>
      </c>
      <c r="V98" s="168">
        <f t="shared" si="26"/>
        <v>720.1130455656747</v>
      </c>
      <c r="W98" s="169">
        <f t="shared" si="26"/>
        <v>799.325480577899</v>
      </c>
      <c r="X98" s="142" t="s">
        <v>138</v>
      </c>
    </row>
    <row r="99" spans="1:24" ht="15" customHeight="1">
      <c r="A99" s="155" t="s">
        <v>33</v>
      </c>
      <c r="B99" s="209">
        <v>0.8</v>
      </c>
      <c r="C99" s="227">
        <v>0.5</v>
      </c>
      <c r="D99" s="228">
        <f>'Update Scenarios'!C11</f>
        <v>0.4</v>
      </c>
      <c r="E99" s="225">
        <f>'Update Scenarios'!D11</f>
        <v>0.2</v>
      </c>
      <c r="F99" s="159">
        <f t="shared" si="23"/>
        <v>6.115448375266492</v>
      </c>
      <c r="G99" s="160">
        <f t="shared" si="23"/>
        <v>11.007807075479686</v>
      </c>
      <c r="H99" s="160">
        <f t="shared" si="23"/>
        <v>19.814052735863434</v>
      </c>
      <c r="I99" s="160">
        <f t="shared" si="23"/>
        <v>35.66529492455418</v>
      </c>
      <c r="J99" s="160">
        <f t="shared" si="23"/>
        <v>64.19753086419753</v>
      </c>
      <c r="K99" s="160">
        <f t="shared" si="23"/>
        <v>115.55555555555556</v>
      </c>
      <c r="L99" s="171">
        <v>208</v>
      </c>
      <c r="M99" s="160">
        <f t="shared" si="24"/>
        <v>312</v>
      </c>
      <c r="N99" s="168">
        <f t="shared" si="24"/>
        <v>468</v>
      </c>
      <c r="O99" s="168">
        <f t="shared" si="24"/>
        <v>702</v>
      </c>
      <c r="P99" s="169">
        <f t="shared" si="24"/>
        <v>1053</v>
      </c>
      <c r="Q99" s="170">
        <f t="shared" si="25"/>
        <v>1474.1999999999998</v>
      </c>
      <c r="R99" s="169">
        <f t="shared" si="25"/>
        <v>2063.8799999999997</v>
      </c>
      <c r="S99" s="170">
        <f t="shared" si="26"/>
        <v>2476.6559999999995</v>
      </c>
      <c r="T99" s="168">
        <f t="shared" si="26"/>
        <v>2971.987199999999</v>
      </c>
      <c r="U99" s="168">
        <f t="shared" si="26"/>
        <v>3566.384639999999</v>
      </c>
      <c r="V99" s="168">
        <f t="shared" si="26"/>
        <v>4279.661567999999</v>
      </c>
      <c r="W99" s="169">
        <f t="shared" si="26"/>
        <v>5135.593881599998</v>
      </c>
      <c r="X99" s="142" t="s">
        <v>139</v>
      </c>
    </row>
    <row r="100" spans="1:24" ht="15" customHeight="1">
      <c r="A100" s="155" t="s">
        <v>101</v>
      </c>
      <c r="B100" s="209">
        <v>0.2</v>
      </c>
      <c r="C100" s="227">
        <v>0.15</v>
      </c>
      <c r="D100" s="209">
        <f t="shared" si="32"/>
        <v>0.15</v>
      </c>
      <c r="E100" s="210">
        <f t="shared" si="33"/>
        <v>0.15</v>
      </c>
      <c r="F100" s="159">
        <f t="shared" si="23"/>
        <v>21.433470507544587</v>
      </c>
      <c r="G100" s="160">
        <f t="shared" si="23"/>
        <v>25.720164609053505</v>
      </c>
      <c r="H100" s="160">
        <f t="shared" si="23"/>
        <v>30.864197530864207</v>
      </c>
      <c r="I100" s="160">
        <f t="shared" si="23"/>
        <v>37.037037037037045</v>
      </c>
      <c r="J100" s="160">
        <f t="shared" si="23"/>
        <v>44.44444444444445</v>
      </c>
      <c r="K100" s="160">
        <f t="shared" si="23"/>
        <v>53.333333333333336</v>
      </c>
      <c r="L100" s="171">
        <v>64</v>
      </c>
      <c r="M100" s="160">
        <f t="shared" si="24"/>
        <v>73.6</v>
      </c>
      <c r="N100" s="168">
        <f t="shared" si="24"/>
        <v>84.63999999999999</v>
      </c>
      <c r="O100" s="168">
        <f t="shared" si="24"/>
        <v>97.33599999999997</v>
      </c>
      <c r="P100" s="169">
        <f t="shared" si="24"/>
        <v>111.93639999999996</v>
      </c>
      <c r="Q100" s="170">
        <f aca="true" t="shared" si="34" ref="Q100:R101">P100*(1+$D100)</f>
        <v>128.72685999999996</v>
      </c>
      <c r="R100" s="169">
        <f t="shared" si="34"/>
        <v>148.03588899999994</v>
      </c>
      <c r="S100" s="170">
        <f aca="true" t="shared" si="35" ref="S100:W101">R100*(1+$E100)</f>
        <v>170.24127234999992</v>
      </c>
      <c r="T100" s="168">
        <f t="shared" si="35"/>
        <v>195.7774632024999</v>
      </c>
      <c r="U100" s="168">
        <f t="shared" si="35"/>
        <v>225.14408268287485</v>
      </c>
      <c r="V100" s="168">
        <f t="shared" si="35"/>
        <v>258.9156950853061</v>
      </c>
      <c r="W100" s="169">
        <f t="shared" si="35"/>
        <v>297.75304934810197</v>
      </c>
      <c r="X100" s="142" t="s">
        <v>140</v>
      </c>
    </row>
    <row r="101" spans="1:24" ht="15" customHeight="1">
      <c r="A101" s="155" t="s">
        <v>16</v>
      </c>
      <c r="B101" s="209">
        <v>0.1</v>
      </c>
      <c r="C101" s="227">
        <v>0.2</v>
      </c>
      <c r="D101" s="209">
        <f t="shared" si="32"/>
        <v>0.2</v>
      </c>
      <c r="E101" s="210">
        <f t="shared" si="33"/>
        <v>0.2</v>
      </c>
      <c r="F101" s="159">
        <f t="shared" si="23"/>
        <v>406.4212296387196</v>
      </c>
      <c r="G101" s="160">
        <f t="shared" si="23"/>
        <v>447.0633526025916</v>
      </c>
      <c r="H101" s="160">
        <f t="shared" si="23"/>
        <v>491.7696878628508</v>
      </c>
      <c r="I101" s="160">
        <f t="shared" si="23"/>
        <v>540.9466566491359</v>
      </c>
      <c r="J101" s="160">
        <f t="shared" si="23"/>
        <v>595.0413223140495</v>
      </c>
      <c r="K101" s="160">
        <f t="shared" si="23"/>
        <v>654.5454545454545</v>
      </c>
      <c r="L101" s="171">
        <v>720</v>
      </c>
      <c r="M101" s="160">
        <f aca="true" t="shared" si="36" ref="M101:P101">L101*(1+$C101)</f>
        <v>864</v>
      </c>
      <c r="N101" s="168">
        <f t="shared" si="36"/>
        <v>1036.8</v>
      </c>
      <c r="O101" s="168">
        <f t="shared" si="36"/>
        <v>1244.1599999999999</v>
      </c>
      <c r="P101" s="169">
        <f t="shared" si="36"/>
        <v>1492.9919999999997</v>
      </c>
      <c r="Q101" s="170">
        <f t="shared" si="34"/>
        <v>1791.5903999999996</v>
      </c>
      <c r="R101" s="169">
        <f t="shared" si="34"/>
        <v>2149.9084799999996</v>
      </c>
      <c r="S101" s="170">
        <f t="shared" si="35"/>
        <v>2579.8901759999994</v>
      </c>
      <c r="T101" s="168">
        <f t="shared" si="35"/>
        <v>3095.868211199999</v>
      </c>
      <c r="U101" s="168">
        <f t="shared" si="35"/>
        <v>3715.0418534399987</v>
      </c>
      <c r="V101" s="168">
        <f t="shared" si="35"/>
        <v>4458.050224127998</v>
      </c>
      <c r="W101" s="169">
        <f t="shared" si="35"/>
        <v>5349.660268953598</v>
      </c>
      <c r="X101" s="142" t="s">
        <v>141</v>
      </c>
    </row>
    <row r="102" spans="1:23" ht="15" customHeight="1">
      <c r="A102" s="197" t="s">
        <v>104</v>
      </c>
      <c r="B102" s="229"/>
      <c r="C102" s="230"/>
      <c r="D102" s="229"/>
      <c r="E102" s="230"/>
      <c r="F102" s="201">
        <f>SUM(F85:F101)</f>
        <v>17931.924268376297</v>
      </c>
      <c r="G102" s="202">
        <f aca="true" t="shared" si="37" ref="G102:W102">SUM(G85:G101)</f>
        <v>18041.81819173267</v>
      </c>
      <c r="H102" s="202">
        <f t="shared" si="37"/>
        <v>18463.276519207917</v>
      </c>
      <c r="I102" s="202">
        <f t="shared" si="37"/>
        <v>19218.4538604797</v>
      </c>
      <c r="J102" s="202">
        <f t="shared" si="37"/>
        <v>20344.133701100796</v>
      </c>
      <c r="K102" s="202">
        <f t="shared" si="37"/>
        <v>21895.633454080507</v>
      </c>
      <c r="L102" s="231">
        <f t="shared" si="37"/>
        <v>23953</v>
      </c>
      <c r="M102" s="202">
        <f t="shared" si="37"/>
        <v>25946.545</v>
      </c>
      <c r="N102" s="203">
        <f t="shared" si="37"/>
        <v>28322.925154999994</v>
      </c>
      <c r="O102" s="203">
        <f t="shared" si="37"/>
        <v>31159.859090964997</v>
      </c>
      <c r="P102" s="206">
        <f t="shared" si="37"/>
        <v>34558.13686535019</v>
      </c>
      <c r="Q102" s="205">
        <f t="shared" si="37"/>
        <v>38544.88253185319</v>
      </c>
      <c r="R102" s="206">
        <f t="shared" si="37"/>
        <v>43307.00444542409</v>
      </c>
      <c r="S102" s="205">
        <f t="shared" si="37"/>
        <v>48339.318625983375</v>
      </c>
      <c r="T102" s="203">
        <f t="shared" si="37"/>
        <v>54210.58938652319</v>
      </c>
      <c r="U102" s="203">
        <f t="shared" si="37"/>
        <v>61061.94761633702</v>
      </c>
      <c r="V102" s="203">
        <f t="shared" si="37"/>
        <v>69059.48161224254</v>
      </c>
      <c r="W102" s="206">
        <f t="shared" si="37"/>
        <v>78398.63817423725</v>
      </c>
    </row>
    <row r="103" spans="1:12" ht="15" customHeight="1">
      <c r="A103" s="142"/>
      <c r="B103" s="142"/>
      <c r="C103" s="142"/>
      <c r="D103" s="142"/>
      <c r="E103" s="142"/>
      <c r="F103" s="142"/>
      <c r="G103" s="142"/>
      <c r="H103" s="142"/>
      <c r="I103" s="142"/>
      <c r="J103" s="142"/>
      <c r="K103" s="142"/>
      <c r="L103" s="142"/>
    </row>
    <row r="104" spans="1:23" ht="30" customHeight="1">
      <c r="A104" s="232" t="s">
        <v>142</v>
      </c>
      <c r="B104" s="153" t="s">
        <v>70</v>
      </c>
      <c r="C104" s="154" t="s">
        <v>71</v>
      </c>
      <c r="D104" s="153" t="s">
        <v>72</v>
      </c>
      <c r="E104" s="154" t="s">
        <v>73</v>
      </c>
      <c r="F104" s="153">
        <v>2013</v>
      </c>
      <c r="G104" s="152">
        <v>2014</v>
      </c>
      <c r="H104" s="152">
        <v>2015</v>
      </c>
      <c r="I104" s="152">
        <v>2016</v>
      </c>
      <c r="J104" s="152">
        <v>2017</v>
      </c>
      <c r="K104" s="152">
        <v>2018</v>
      </c>
      <c r="L104" s="152">
        <v>2019</v>
      </c>
      <c r="M104" s="152">
        <v>2020</v>
      </c>
      <c r="N104" s="152">
        <v>2021</v>
      </c>
      <c r="O104" s="152">
        <v>2022</v>
      </c>
      <c r="P104" s="154">
        <v>2023</v>
      </c>
      <c r="Q104" s="153">
        <v>2024</v>
      </c>
      <c r="R104" s="154">
        <v>2025</v>
      </c>
      <c r="S104" s="153">
        <v>2026</v>
      </c>
      <c r="T104" s="152">
        <v>2027</v>
      </c>
      <c r="U104" s="152">
        <v>2028</v>
      </c>
      <c r="V104" s="152">
        <v>2029</v>
      </c>
      <c r="W104" s="154">
        <v>2030</v>
      </c>
    </row>
    <row r="105" spans="1:24" ht="22.75" customHeight="1">
      <c r="A105" s="155" t="s">
        <v>74</v>
      </c>
      <c r="B105" s="209">
        <v>0</v>
      </c>
      <c r="C105" s="210">
        <v>0</v>
      </c>
      <c r="D105" s="209">
        <f aca="true" t="shared" si="38" ref="D105:D144">C105</f>
        <v>0</v>
      </c>
      <c r="E105" s="210">
        <f aca="true" t="shared" si="39" ref="E105:E121">C105</f>
        <v>0</v>
      </c>
      <c r="F105" s="159">
        <f aca="true" t="shared" si="40" ref="F105:K121">G105/(1+$B105)</f>
        <v>130</v>
      </c>
      <c r="G105" s="160">
        <f t="shared" si="40"/>
        <v>130</v>
      </c>
      <c r="H105" s="160">
        <f t="shared" si="40"/>
        <v>130</v>
      </c>
      <c r="I105" s="160">
        <f t="shared" si="40"/>
        <v>130</v>
      </c>
      <c r="J105" s="160">
        <f t="shared" si="40"/>
        <v>130</v>
      </c>
      <c r="K105" s="160">
        <f t="shared" si="40"/>
        <v>130</v>
      </c>
      <c r="L105" s="171">
        <v>130</v>
      </c>
      <c r="M105" s="160">
        <f aca="true" t="shared" si="41" ref="M105:P130">(1+$C105)*L105</f>
        <v>130</v>
      </c>
      <c r="N105" s="160">
        <f t="shared" si="41"/>
        <v>130</v>
      </c>
      <c r="O105" s="168">
        <f t="shared" si="41"/>
        <v>130</v>
      </c>
      <c r="P105" s="169">
        <f t="shared" si="41"/>
        <v>130</v>
      </c>
      <c r="Q105" s="170">
        <f aca="true" t="shared" si="42" ref="Q105:R130">(1+$D105)*P105</f>
        <v>130</v>
      </c>
      <c r="R105" s="169">
        <f>(1+$D105)*Q105</f>
        <v>130</v>
      </c>
      <c r="S105" s="170">
        <f aca="true" t="shared" si="43" ref="S105:W130">(1+$E105)*R105</f>
        <v>130</v>
      </c>
      <c r="T105" s="168">
        <f aca="true" t="shared" si="44" ref="T105:W105">(1+$E105)*S105</f>
        <v>130</v>
      </c>
      <c r="U105" s="168">
        <f t="shared" si="44"/>
        <v>130</v>
      </c>
      <c r="V105" s="168">
        <f t="shared" si="44"/>
        <v>130</v>
      </c>
      <c r="W105" s="169">
        <f t="shared" si="44"/>
        <v>130</v>
      </c>
      <c r="X105" s="142" t="s">
        <v>109</v>
      </c>
    </row>
    <row r="106" spans="1:24" ht="15" customHeight="1">
      <c r="A106" s="155" t="s">
        <v>76</v>
      </c>
      <c r="B106" s="209">
        <v>0.03</v>
      </c>
      <c r="C106" s="210">
        <v>0.03</v>
      </c>
      <c r="D106" s="209">
        <f t="shared" si="38"/>
        <v>0.03</v>
      </c>
      <c r="E106" s="210">
        <f t="shared" si="39"/>
        <v>0.03</v>
      </c>
      <c r="F106" s="159">
        <f t="shared" si="40"/>
        <v>50.24905540101925</v>
      </c>
      <c r="G106" s="160">
        <f t="shared" si="40"/>
        <v>51.75652706304983</v>
      </c>
      <c r="H106" s="160">
        <f t="shared" si="40"/>
        <v>53.30922287494133</v>
      </c>
      <c r="I106" s="160">
        <f t="shared" si="40"/>
        <v>54.908499561189565</v>
      </c>
      <c r="J106" s="160">
        <f t="shared" si="40"/>
        <v>56.555754548025256</v>
      </c>
      <c r="K106" s="160">
        <f t="shared" si="40"/>
        <v>58.252427184466015</v>
      </c>
      <c r="L106" s="190">
        <v>60</v>
      </c>
      <c r="M106" s="160">
        <v>70</v>
      </c>
      <c r="N106" s="160">
        <v>70</v>
      </c>
      <c r="O106" s="168">
        <f>(1+$C106)*N106</f>
        <v>72.10000000000001</v>
      </c>
      <c r="P106" s="169">
        <f t="shared" si="41"/>
        <v>74.263</v>
      </c>
      <c r="Q106" s="170">
        <f t="shared" si="42"/>
        <v>76.49089000000001</v>
      </c>
      <c r="R106" s="169">
        <f t="shared" si="42"/>
        <v>78.7856167</v>
      </c>
      <c r="S106" s="170">
        <f t="shared" si="43"/>
        <v>81.14918520100001</v>
      </c>
      <c r="T106" s="168">
        <f t="shared" si="43"/>
        <v>83.58366075703002</v>
      </c>
      <c r="U106" s="168">
        <f t="shared" si="43"/>
        <v>86.09117057974092</v>
      </c>
      <c r="V106" s="168">
        <f t="shared" si="43"/>
        <v>88.67390569713315</v>
      </c>
      <c r="W106" s="169">
        <f t="shared" si="43"/>
        <v>91.33412286804715</v>
      </c>
      <c r="X106" s="142" t="s">
        <v>109</v>
      </c>
    </row>
    <row r="107" spans="1:24" ht="15" customHeight="1">
      <c r="A107" s="155" t="s">
        <v>78</v>
      </c>
      <c r="B107" s="209">
        <v>0</v>
      </c>
      <c r="C107" s="210">
        <v>0</v>
      </c>
      <c r="D107" s="209">
        <f t="shared" si="38"/>
        <v>0</v>
      </c>
      <c r="E107" s="210">
        <f t="shared" si="39"/>
        <v>0</v>
      </c>
      <c r="F107" s="159">
        <f t="shared" si="40"/>
        <v>56</v>
      </c>
      <c r="G107" s="160">
        <f t="shared" si="40"/>
        <v>56</v>
      </c>
      <c r="H107" s="160">
        <f t="shared" si="40"/>
        <v>56</v>
      </c>
      <c r="I107" s="160">
        <f t="shared" si="40"/>
        <v>56</v>
      </c>
      <c r="J107" s="160">
        <f t="shared" si="40"/>
        <v>56</v>
      </c>
      <c r="K107" s="160">
        <f t="shared" si="40"/>
        <v>56</v>
      </c>
      <c r="L107" s="171">
        <v>56</v>
      </c>
      <c r="M107" s="160">
        <f t="shared" si="41"/>
        <v>56</v>
      </c>
      <c r="N107" s="160">
        <f t="shared" si="41"/>
        <v>56</v>
      </c>
      <c r="O107" s="168">
        <f t="shared" si="41"/>
        <v>56</v>
      </c>
      <c r="P107" s="169">
        <f t="shared" si="41"/>
        <v>56</v>
      </c>
      <c r="Q107" s="170">
        <f t="shared" si="42"/>
        <v>56</v>
      </c>
      <c r="R107" s="169">
        <f t="shared" si="42"/>
        <v>56</v>
      </c>
      <c r="S107" s="170">
        <f t="shared" si="43"/>
        <v>56</v>
      </c>
      <c r="T107" s="168">
        <f t="shared" si="43"/>
        <v>56</v>
      </c>
      <c r="U107" s="168">
        <f t="shared" si="43"/>
        <v>56</v>
      </c>
      <c r="V107" s="168">
        <f t="shared" si="43"/>
        <v>56</v>
      </c>
      <c r="W107" s="169">
        <f t="shared" si="43"/>
        <v>56</v>
      </c>
      <c r="X107" s="142" t="s">
        <v>143</v>
      </c>
    </row>
    <row r="108" spans="1:24" ht="15" customHeight="1">
      <c r="A108" s="155" t="s">
        <v>79</v>
      </c>
      <c r="B108" s="209">
        <v>0</v>
      </c>
      <c r="C108" s="210">
        <v>0</v>
      </c>
      <c r="D108" s="209">
        <f t="shared" si="38"/>
        <v>0</v>
      </c>
      <c r="E108" s="210">
        <f t="shared" si="39"/>
        <v>0</v>
      </c>
      <c r="F108" s="159">
        <f t="shared" si="40"/>
        <v>55</v>
      </c>
      <c r="G108" s="160">
        <f t="shared" si="40"/>
        <v>55</v>
      </c>
      <c r="H108" s="160">
        <f t="shared" si="40"/>
        <v>55</v>
      </c>
      <c r="I108" s="160">
        <f t="shared" si="40"/>
        <v>55</v>
      </c>
      <c r="J108" s="160">
        <f t="shared" si="40"/>
        <v>55</v>
      </c>
      <c r="K108" s="160">
        <f t="shared" si="40"/>
        <v>55</v>
      </c>
      <c r="L108" s="171">
        <v>55</v>
      </c>
      <c r="M108" s="160">
        <f t="shared" si="41"/>
        <v>55</v>
      </c>
      <c r="N108" s="160">
        <f t="shared" si="41"/>
        <v>55</v>
      </c>
      <c r="O108" s="168">
        <f t="shared" si="41"/>
        <v>55</v>
      </c>
      <c r="P108" s="169">
        <f t="shared" si="41"/>
        <v>55</v>
      </c>
      <c r="Q108" s="170">
        <f t="shared" si="42"/>
        <v>55</v>
      </c>
      <c r="R108" s="169">
        <f t="shared" si="42"/>
        <v>55</v>
      </c>
      <c r="S108" s="170">
        <f t="shared" si="43"/>
        <v>55</v>
      </c>
      <c r="T108" s="168">
        <f t="shared" si="43"/>
        <v>55</v>
      </c>
      <c r="U108" s="168">
        <f t="shared" si="43"/>
        <v>55</v>
      </c>
      <c r="V108" s="168">
        <f t="shared" si="43"/>
        <v>55</v>
      </c>
      <c r="W108" s="169">
        <f t="shared" si="43"/>
        <v>55</v>
      </c>
      <c r="X108" s="142" t="s">
        <v>144</v>
      </c>
    </row>
    <row r="109" spans="1:24" ht="15" customHeight="1">
      <c r="A109" s="155" t="s">
        <v>81</v>
      </c>
      <c r="B109" s="209">
        <v>-0.03</v>
      </c>
      <c r="C109" s="210">
        <v>-0.03</v>
      </c>
      <c r="D109" s="209">
        <f t="shared" si="38"/>
        <v>-0.03</v>
      </c>
      <c r="E109" s="210">
        <f t="shared" si="39"/>
        <v>-0.03</v>
      </c>
      <c r="F109" s="159">
        <f t="shared" si="40"/>
        <v>168.07287540465802</v>
      </c>
      <c r="G109" s="160">
        <f t="shared" si="40"/>
        <v>163.03068914251827</v>
      </c>
      <c r="H109" s="168">
        <f t="shared" si="40"/>
        <v>158.13976846824272</v>
      </c>
      <c r="I109" s="168">
        <f t="shared" si="40"/>
        <v>153.39557541419543</v>
      </c>
      <c r="J109" s="160">
        <f t="shared" si="40"/>
        <v>148.79370815176958</v>
      </c>
      <c r="K109" s="160">
        <f t="shared" si="40"/>
        <v>144.3298969072165</v>
      </c>
      <c r="L109" s="171">
        <v>140</v>
      </c>
      <c r="M109" s="160">
        <f t="shared" si="41"/>
        <v>135.79999999999998</v>
      </c>
      <c r="N109" s="160">
        <f t="shared" si="41"/>
        <v>131.72599999999997</v>
      </c>
      <c r="O109" s="168">
        <f t="shared" si="41"/>
        <v>127.77421999999997</v>
      </c>
      <c r="P109" s="169">
        <f t="shared" si="41"/>
        <v>123.94099339999997</v>
      </c>
      <c r="Q109" s="170">
        <f t="shared" si="42"/>
        <v>120.22276359799997</v>
      </c>
      <c r="R109" s="169">
        <f t="shared" si="42"/>
        <v>116.61608069005997</v>
      </c>
      <c r="S109" s="170">
        <f t="shared" si="43"/>
        <v>113.11759826935817</v>
      </c>
      <c r="T109" s="168">
        <f t="shared" si="43"/>
        <v>109.72407032127742</v>
      </c>
      <c r="U109" s="168">
        <f t="shared" si="43"/>
        <v>106.4323482116391</v>
      </c>
      <c r="V109" s="168">
        <f t="shared" si="43"/>
        <v>103.23937776528992</v>
      </c>
      <c r="W109" s="169">
        <f t="shared" si="43"/>
        <v>100.14219643233122</v>
      </c>
      <c r="X109" s="142" t="s">
        <v>145</v>
      </c>
    </row>
    <row r="110" spans="1:24" ht="15" customHeight="1">
      <c r="A110" s="155" t="s">
        <v>30</v>
      </c>
      <c r="B110" s="209">
        <v>0.1</v>
      </c>
      <c r="C110" s="210">
        <v>0.07</v>
      </c>
      <c r="D110" s="209">
        <f t="shared" si="38"/>
        <v>0.07</v>
      </c>
      <c r="E110" s="210">
        <f t="shared" si="39"/>
        <v>0.07</v>
      </c>
      <c r="F110" s="159">
        <f t="shared" si="40"/>
        <v>2.822369650268886</v>
      </c>
      <c r="G110" s="160">
        <f t="shared" si="40"/>
        <v>3.1046066152957748</v>
      </c>
      <c r="H110" s="160">
        <f t="shared" si="40"/>
        <v>3.4150672768253525</v>
      </c>
      <c r="I110" s="160">
        <f t="shared" si="40"/>
        <v>3.756574004507888</v>
      </c>
      <c r="J110" s="160">
        <f t="shared" si="40"/>
        <v>4.132231404958677</v>
      </c>
      <c r="K110" s="160">
        <f t="shared" si="40"/>
        <v>4.545454545454545</v>
      </c>
      <c r="L110" s="190">
        <v>5</v>
      </c>
      <c r="M110" s="160">
        <f t="shared" si="41"/>
        <v>5.3500000000000005</v>
      </c>
      <c r="N110" s="160">
        <f t="shared" si="41"/>
        <v>5.724500000000001</v>
      </c>
      <c r="O110" s="168">
        <f t="shared" si="41"/>
        <v>6.125215000000002</v>
      </c>
      <c r="P110" s="169">
        <f t="shared" si="41"/>
        <v>6.5539800500000025</v>
      </c>
      <c r="Q110" s="170">
        <f t="shared" si="42"/>
        <v>7.012758653500003</v>
      </c>
      <c r="R110" s="169">
        <f t="shared" si="42"/>
        <v>7.503651759245004</v>
      </c>
      <c r="S110" s="170">
        <f t="shared" si="43"/>
        <v>8.028907382392156</v>
      </c>
      <c r="T110" s="168">
        <f t="shared" si="43"/>
        <v>8.590930899159607</v>
      </c>
      <c r="U110" s="168">
        <f t="shared" si="43"/>
        <v>9.19229606210078</v>
      </c>
      <c r="V110" s="168">
        <f t="shared" si="43"/>
        <v>9.835756786447835</v>
      </c>
      <c r="W110" s="169">
        <f t="shared" si="43"/>
        <v>10.524259761499184</v>
      </c>
      <c r="X110" s="142" t="s">
        <v>146</v>
      </c>
    </row>
    <row r="111" spans="1:24" ht="15" customHeight="1">
      <c r="A111" s="155" t="s">
        <v>84</v>
      </c>
      <c r="B111" s="209">
        <v>0</v>
      </c>
      <c r="C111" s="210">
        <v>0</v>
      </c>
      <c r="D111" s="209">
        <f t="shared" si="38"/>
        <v>0</v>
      </c>
      <c r="E111" s="210">
        <f t="shared" si="39"/>
        <v>0</v>
      </c>
      <c r="F111" s="159">
        <f t="shared" si="40"/>
        <v>12</v>
      </c>
      <c r="G111" s="160">
        <f t="shared" si="40"/>
        <v>12</v>
      </c>
      <c r="H111" s="160">
        <f t="shared" si="40"/>
        <v>12</v>
      </c>
      <c r="I111" s="160">
        <f t="shared" si="40"/>
        <v>12</v>
      </c>
      <c r="J111" s="160">
        <f t="shared" si="40"/>
        <v>12</v>
      </c>
      <c r="K111" s="160">
        <f t="shared" si="40"/>
        <v>12</v>
      </c>
      <c r="L111" s="190">
        <v>12</v>
      </c>
      <c r="M111" s="160">
        <f t="shared" si="41"/>
        <v>12</v>
      </c>
      <c r="N111" s="160">
        <f t="shared" si="41"/>
        <v>12</v>
      </c>
      <c r="O111" s="168">
        <f t="shared" si="41"/>
        <v>12</v>
      </c>
      <c r="P111" s="169">
        <f t="shared" si="41"/>
        <v>12</v>
      </c>
      <c r="Q111" s="170">
        <f t="shared" si="42"/>
        <v>12</v>
      </c>
      <c r="R111" s="169">
        <f t="shared" si="42"/>
        <v>12</v>
      </c>
      <c r="S111" s="170">
        <f t="shared" si="43"/>
        <v>12</v>
      </c>
      <c r="T111" s="168">
        <f t="shared" si="43"/>
        <v>12</v>
      </c>
      <c r="U111" s="168">
        <f t="shared" si="43"/>
        <v>12</v>
      </c>
      <c r="V111" s="168">
        <f t="shared" si="43"/>
        <v>12</v>
      </c>
      <c r="W111" s="169">
        <f t="shared" si="43"/>
        <v>12</v>
      </c>
      <c r="X111" s="142" t="s">
        <v>147</v>
      </c>
    </row>
    <row r="112" spans="1:24" ht="15" customHeight="1">
      <c r="A112" s="155" t="s">
        <v>86</v>
      </c>
      <c r="B112" s="209">
        <v>0</v>
      </c>
      <c r="C112" s="210">
        <v>0</v>
      </c>
      <c r="D112" s="209">
        <f t="shared" si="38"/>
        <v>0</v>
      </c>
      <c r="E112" s="210">
        <f t="shared" si="39"/>
        <v>0</v>
      </c>
      <c r="F112" s="159">
        <f t="shared" si="40"/>
        <v>1</v>
      </c>
      <c r="G112" s="160">
        <f t="shared" si="40"/>
        <v>1</v>
      </c>
      <c r="H112" s="160">
        <f t="shared" si="40"/>
        <v>1</v>
      </c>
      <c r="I112" s="160">
        <f t="shared" si="40"/>
        <v>1</v>
      </c>
      <c r="J112" s="160">
        <f t="shared" si="40"/>
        <v>1</v>
      </c>
      <c r="K112" s="160">
        <f t="shared" si="40"/>
        <v>1</v>
      </c>
      <c r="L112" s="171">
        <v>1</v>
      </c>
      <c r="M112" s="160">
        <f t="shared" si="41"/>
        <v>1</v>
      </c>
      <c r="N112" s="160">
        <f t="shared" si="41"/>
        <v>1</v>
      </c>
      <c r="O112" s="168">
        <f t="shared" si="41"/>
        <v>1</v>
      </c>
      <c r="P112" s="169">
        <f t="shared" si="41"/>
        <v>1</v>
      </c>
      <c r="Q112" s="170">
        <f t="shared" si="42"/>
        <v>1</v>
      </c>
      <c r="R112" s="169">
        <f t="shared" si="42"/>
        <v>1</v>
      </c>
      <c r="S112" s="170">
        <f t="shared" si="43"/>
        <v>1</v>
      </c>
      <c r="T112" s="168">
        <f t="shared" si="43"/>
        <v>1</v>
      </c>
      <c r="U112" s="168">
        <f t="shared" si="43"/>
        <v>1</v>
      </c>
      <c r="V112" s="168">
        <f t="shared" si="43"/>
        <v>1</v>
      </c>
      <c r="W112" s="169">
        <f t="shared" si="43"/>
        <v>1</v>
      </c>
      <c r="X112" s="142" t="s">
        <v>148</v>
      </c>
    </row>
    <row r="113" spans="1:23" ht="15" customHeight="1">
      <c r="A113" s="212" t="s">
        <v>88</v>
      </c>
      <c r="B113" s="209">
        <v>0</v>
      </c>
      <c r="C113" s="210">
        <v>-0.05</v>
      </c>
      <c r="D113" s="209">
        <f t="shared" si="38"/>
        <v>-0.05</v>
      </c>
      <c r="E113" s="210">
        <f t="shared" si="39"/>
        <v>-0.05</v>
      </c>
      <c r="F113" s="159">
        <f t="shared" si="40"/>
        <v>8.76</v>
      </c>
      <c r="G113" s="160">
        <f t="shared" si="40"/>
        <v>8.76</v>
      </c>
      <c r="H113" s="168">
        <f t="shared" si="40"/>
        <v>8.76</v>
      </c>
      <c r="I113" s="168">
        <f t="shared" si="40"/>
        <v>8.76</v>
      </c>
      <c r="J113" s="168">
        <f t="shared" si="40"/>
        <v>8.76</v>
      </c>
      <c r="K113" s="168">
        <f t="shared" si="40"/>
        <v>8.76</v>
      </c>
      <c r="L113" s="171">
        <f>1*24*365/1000</f>
        <v>8.76</v>
      </c>
      <c r="M113" s="168">
        <f t="shared" si="41"/>
        <v>8.322</v>
      </c>
      <c r="N113" s="160">
        <f t="shared" si="41"/>
        <v>7.905899999999999</v>
      </c>
      <c r="O113" s="168">
        <f t="shared" si="41"/>
        <v>7.510604999999999</v>
      </c>
      <c r="P113" s="169">
        <f t="shared" si="41"/>
        <v>7.1350747499999985</v>
      </c>
      <c r="Q113" s="170">
        <f t="shared" si="42"/>
        <v>6.778321012499998</v>
      </c>
      <c r="R113" s="169">
        <f t="shared" si="42"/>
        <v>6.439404961874998</v>
      </c>
      <c r="S113" s="170">
        <f t="shared" si="43"/>
        <v>6.117434713781248</v>
      </c>
      <c r="T113" s="168">
        <f t="shared" si="43"/>
        <v>5.811562978092185</v>
      </c>
      <c r="U113" s="168">
        <f t="shared" si="43"/>
        <v>5.520984829187576</v>
      </c>
      <c r="V113" s="168">
        <f t="shared" si="43"/>
        <v>5.244935587728197</v>
      </c>
      <c r="W113" s="169">
        <f t="shared" si="43"/>
        <v>4.982688808341787</v>
      </c>
    </row>
    <row r="114" spans="1:24" ht="15" customHeight="1">
      <c r="A114" s="155" t="s">
        <v>90</v>
      </c>
      <c r="B114" s="209">
        <v>-0.02</v>
      </c>
      <c r="C114" s="210">
        <v>0.03</v>
      </c>
      <c r="D114" s="209">
        <f t="shared" si="38"/>
        <v>0.03</v>
      </c>
      <c r="E114" s="210">
        <f t="shared" si="39"/>
        <v>0.03</v>
      </c>
      <c r="F114" s="159">
        <f t="shared" si="40"/>
        <v>242.70683435838927</v>
      </c>
      <c r="G114" s="160">
        <f t="shared" si="40"/>
        <v>237.85269767122148</v>
      </c>
      <c r="H114" s="160">
        <f t="shared" si="40"/>
        <v>233.09564371779703</v>
      </c>
      <c r="I114" s="193">
        <f t="shared" si="40"/>
        <v>228.43373084344108</v>
      </c>
      <c r="J114" s="193">
        <f t="shared" si="40"/>
        <v>223.86505622657225</v>
      </c>
      <c r="K114" s="193">
        <f>L114/(1+$B114)</f>
        <v>219.3877551020408</v>
      </c>
      <c r="L114" s="190">
        <v>215</v>
      </c>
      <c r="M114" s="160">
        <f t="shared" si="41"/>
        <v>221.45000000000002</v>
      </c>
      <c r="N114" s="160">
        <f t="shared" si="41"/>
        <v>228.09350000000003</v>
      </c>
      <c r="O114" s="168">
        <f>(1+$C114)*N114</f>
        <v>234.93630500000003</v>
      </c>
      <c r="P114" s="169">
        <f t="shared" si="41"/>
        <v>241.98439415000004</v>
      </c>
      <c r="Q114" s="170">
        <f t="shared" si="42"/>
        <v>249.24392597450006</v>
      </c>
      <c r="R114" s="169">
        <f t="shared" si="42"/>
        <v>256.72124375373505</v>
      </c>
      <c r="S114" s="170">
        <f t="shared" si="43"/>
        <v>264.4228810663471</v>
      </c>
      <c r="T114" s="168">
        <f t="shared" si="43"/>
        <v>272.3555674983375</v>
      </c>
      <c r="U114" s="168">
        <f t="shared" si="43"/>
        <v>280.52623452328766</v>
      </c>
      <c r="V114" s="168">
        <f t="shared" si="43"/>
        <v>288.9420215589863</v>
      </c>
      <c r="W114" s="169">
        <f t="shared" si="43"/>
        <v>297.61028220575594</v>
      </c>
      <c r="X114" s="142" t="s">
        <v>149</v>
      </c>
    </row>
    <row r="115" spans="1:24" ht="15" customHeight="1">
      <c r="A115" s="155" t="s">
        <v>92</v>
      </c>
      <c r="B115" s="209">
        <v>0</v>
      </c>
      <c r="C115" s="210">
        <v>0</v>
      </c>
      <c r="D115" s="209">
        <f t="shared" si="38"/>
        <v>0</v>
      </c>
      <c r="E115" s="210">
        <f t="shared" si="39"/>
        <v>0</v>
      </c>
      <c r="F115" s="159">
        <f t="shared" si="40"/>
        <v>40</v>
      </c>
      <c r="G115" s="160">
        <f t="shared" si="40"/>
        <v>40</v>
      </c>
      <c r="H115" s="160">
        <f t="shared" si="40"/>
        <v>40</v>
      </c>
      <c r="I115" s="160">
        <f t="shared" si="40"/>
        <v>40</v>
      </c>
      <c r="J115" s="160">
        <f t="shared" si="40"/>
        <v>40</v>
      </c>
      <c r="K115" s="160">
        <f t="shared" si="40"/>
        <v>40</v>
      </c>
      <c r="L115" s="171">
        <v>40</v>
      </c>
      <c r="M115" s="160">
        <f t="shared" si="41"/>
        <v>40</v>
      </c>
      <c r="N115" s="160">
        <f t="shared" si="41"/>
        <v>40</v>
      </c>
      <c r="O115" s="168">
        <f t="shared" si="41"/>
        <v>40</v>
      </c>
      <c r="P115" s="169">
        <f t="shared" si="41"/>
        <v>40</v>
      </c>
      <c r="Q115" s="170">
        <f t="shared" si="42"/>
        <v>40</v>
      </c>
      <c r="R115" s="169">
        <f t="shared" si="42"/>
        <v>40</v>
      </c>
      <c r="S115" s="170">
        <f t="shared" si="43"/>
        <v>40</v>
      </c>
      <c r="T115" s="168">
        <f t="shared" si="43"/>
        <v>40</v>
      </c>
      <c r="U115" s="168">
        <f t="shared" si="43"/>
        <v>40</v>
      </c>
      <c r="V115" s="168">
        <f t="shared" si="43"/>
        <v>40</v>
      </c>
      <c r="W115" s="169">
        <f t="shared" si="43"/>
        <v>40</v>
      </c>
      <c r="X115" s="142" t="s">
        <v>150</v>
      </c>
    </row>
    <row r="116" spans="1:24" ht="15" customHeight="1">
      <c r="A116" s="155" t="s">
        <v>94</v>
      </c>
      <c r="B116" s="209">
        <v>0</v>
      </c>
      <c r="C116" s="210">
        <v>0</v>
      </c>
      <c r="D116" s="209">
        <f t="shared" si="38"/>
        <v>0</v>
      </c>
      <c r="E116" s="210">
        <f t="shared" si="39"/>
        <v>0</v>
      </c>
      <c r="F116" s="159">
        <f t="shared" si="40"/>
        <v>170</v>
      </c>
      <c r="G116" s="160">
        <f t="shared" si="40"/>
        <v>170</v>
      </c>
      <c r="H116" s="160">
        <f t="shared" si="40"/>
        <v>170</v>
      </c>
      <c r="I116" s="160">
        <f t="shared" si="40"/>
        <v>170</v>
      </c>
      <c r="J116" s="160">
        <f t="shared" si="40"/>
        <v>170</v>
      </c>
      <c r="K116" s="160">
        <f t="shared" si="40"/>
        <v>170</v>
      </c>
      <c r="L116" s="171">
        <v>170</v>
      </c>
      <c r="M116" s="160">
        <f t="shared" si="41"/>
        <v>170</v>
      </c>
      <c r="N116" s="160">
        <f t="shared" si="41"/>
        <v>170</v>
      </c>
      <c r="O116" s="168">
        <f t="shared" si="41"/>
        <v>170</v>
      </c>
      <c r="P116" s="169">
        <f t="shared" si="41"/>
        <v>170</v>
      </c>
      <c r="Q116" s="170">
        <f t="shared" si="42"/>
        <v>170</v>
      </c>
      <c r="R116" s="169">
        <f t="shared" si="42"/>
        <v>170</v>
      </c>
      <c r="S116" s="170">
        <f t="shared" si="43"/>
        <v>170</v>
      </c>
      <c r="T116" s="168">
        <f t="shared" si="43"/>
        <v>170</v>
      </c>
      <c r="U116" s="168">
        <f t="shared" si="43"/>
        <v>170</v>
      </c>
      <c r="V116" s="168">
        <f t="shared" si="43"/>
        <v>170</v>
      </c>
      <c r="W116" s="169">
        <f t="shared" si="43"/>
        <v>170</v>
      </c>
      <c r="X116" s="142" t="s">
        <v>151</v>
      </c>
    </row>
    <row r="117" spans="1:24" ht="15" customHeight="1">
      <c r="A117" s="155" t="s">
        <v>96</v>
      </c>
      <c r="B117" s="209">
        <v>0</v>
      </c>
      <c r="C117" s="210">
        <v>0</v>
      </c>
      <c r="D117" s="209">
        <f t="shared" si="38"/>
        <v>0</v>
      </c>
      <c r="E117" s="210">
        <f t="shared" si="39"/>
        <v>0</v>
      </c>
      <c r="F117" s="159">
        <f t="shared" si="40"/>
        <v>8</v>
      </c>
      <c r="G117" s="160">
        <f t="shared" si="40"/>
        <v>8</v>
      </c>
      <c r="H117" s="160">
        <f t="shared" si="40"/>
        <v>8</v>
      </c>
      <c r="I117" s="160">
        <f t="shared" si="40"/>
        <v>8</v>
      </c>
      <c r="J117" s="160">
        <f t="shared" si="40"/>
        <v>8</v>
      </c>
      <c r="K117" s="160">
        <f t="shared" si="40"/>
        <v>8</v>
      </c>
      <c r="L117" s="171">
        <v>8</v>
      </c>
      <c r="M117" s="160">
        <f t="shared" si="41"/>
        <v>8</v>
      </c>
      <c r="N117" s="160">
        <f t="shared" si="41"/>
        <v>8</v>
      </c>
      <c r="O117" s="168">
        <f t="shared" si="41"/>
        <v>8</v>
      </c>
      <c r="P117" s="169">
        <f t="shared" si="41"/>
        <v>8</v>
      </c>
      <c r="Q117" s="170">
        <f t="shared" si="42"/>
        <v>8</v>
      </c>
      <c r="R117" s="169">
        <f t="shared" si="42"/>
        <v>8</v>
      </c>
      <c r="S117" s="170">
        <f t="shared" si="43"/>
        <v>8</v>
      </c>
      <c r="T117" s="168">
        <f t="shared" si="43"/>
        <v>8</v>
      </c>
      <c r="U117" s="168">
        <f t="shared" si="43"/>
        <v>8</v>
      </c>
      <c r="V117" s="168">
        <f t="shared" si="43"/>
        <v>8</v>
      </c>
      <c r="W117" s="169">
        <f t="shared" si="43"/>
        <v>8</v>
      </c>
      <c r="X117" s="142" t="s">
        <v>152</v>
      </c>
    </row>
    <row r="118" spans="1:24" ht="15" customHeight="1">
      <c r="A118" s="155" t="s">
        <v>5</v>
      </c>
      <c r="B118" s="209">
        <v>0</v>
      </c>
      <c r="C118" s="210">
        <v>0.02</v>
      </c>
      <c r="D118" s="209">
        <f t="shared" si="38"/>
        <v>0.02</v>
      </c>
      <c r="E118" s="216">
        <f>D118</f>
        <v>0.02</v>
      </c>
      <c r="F118" s="159">
        <f t="shared" si="40"/>
        <v>2</v>
      </c>
      <c r="G118" s="160">
        <f t="shared" si="40"/>
        <v>2</v>
      </c>
      <c r="H118" s="160">
        <f t="shared" si="40"/>
        <v>2</v>
      </c>
      <c r="I118" s="160">
        <f t="shared" si="40"/>
        <v>2</v>
      </c>
      <c r="J118" s="160">
        <f t="shared" si="40"/>
        <v>2</v>
      </c>
      <c r="K118" s="160">
        <f t="shared" si="40"/>
        <v>2</v>
      </c>
      <c r="L118" s="171">
        <v>2</v>
      </c>
      <c r="M118" s="160">
        <f t="shared" si="41"/>
        <v>2.04</v>
      </c>
      <c r="N118" s="168">
        <f t="shared" si="41"/>
        <v>2.0808</v>
      </c>
      <c r="O118" s="168">
        <f t="shared" si="41"/>
        <v>2.122416</v>
      </c>
      <c r="P118" s="169">
        <f t="shared" si="41"/>
        <v>2.16486432</v>
      </c>
      <c r="Q118" s="170">
        <f t="shared" si="42"/>
        <v>2.2081616064</v>
      </c>
      <c r="R118" s="169">
        <f t="shared" si="42"/>
        <v>2.252324838528</v>
      </c>
      <c r="S118" s="170">
        <f t="shared" si="43"/>
        <v>2.29737133529856</v>
      </c>
      <c r="T118" s="168">
        <f t="shared" si="43"/>
        <v>2.3433187620045315</v>
      </c>
      <c r="U118" s="168">
        <f t="shared" si="43"/>
        <v>2.390185137244622</v>
      </c>
      <c r="V118" s="168">
        <f t="shared" si="43"/>
        <v>2.4379888399895147</v>
      </c>
      <c r="W118" s="169">
        <f t="shared" si="43"/>
        <v>2.486748616789305</v>
      </c>
      <c r="X118" s="142" t="s">
        <v>153</v>
      </c>
    </row>
    <row r="119" spans="1:24" ht="15" customHeight="1">
      <c r="A119" s="155" t="s">
        <v>33</v>
      </c>
      <c r="B119" s="209">
        <v>0</v>
      </c>
      <c r="C119" s="210">
        <v>0.02</v>
      </c>
      <c r="D119" s="209">
        <f t="shared" si="38"/>
        <v>0.02</v>
      </c>
      <c r="E119" s="210">
        <f t="shared" si="39"/>
        <v>0.02</v>
      </c>
      <c r="F119" s="159">
        <f t="shared" si="40"/>
        <v>44</v>
      </c>
      <c r="G119" s="160">
        <f t="shared" si="40"/>
        <v>44</v>
      </c>
      <c r="H119" s="160">
        <f t="shared" si="40"/>
        <v>44</v>
      </c>
      <c r="I119" s="160">
        <f t="shared" si="40"/>
        <v>44</v>
      </c>
      <c r="J119" s="160">
        <f t="shared" si="40"/>
        <v>44</v>
      </c>
      <c r="K119" s="160">
        <f t="shared" si="40"/>
        <v>44</v>
      </c>
      <c r="L119" s="171">
        <v>44</v>
      </c>
      <c r="M119" s="160">
        <f t="shared" si="41"/>
        <v>44.88</v>
      </c>
      <c r="N119" s="168">
        <f t="shared" si="41"/>
        <v>45.77760000000001</v>
      </c>
      <c r="O119" s="168">
        <f t="shared" si="41"/>
        <v>46.693152000000005</v>
      </c>
      <c r="P119" s="169">
        <f t="shared" si="41"/>
        <v>47.62701504</v>
      </c>
      <c r="Q119" s="170">
        <f t="shared" si="42"/>
        <v>48.579555340800006</v>
      </c>
      <c r="R119" s="169">
        <f t="shared" si="42"/>
        <v>49.551146447616006</v>
      </c>
      <c r="S119" s="170">
        <f t="shared" si="43"/>
        <v>50.542169376568324</v>
      </c>
      <c r="T119" s="168">
        <f t="shared" si="43"/>
        <v>51.55301276409969</v>
      </c>
      <c r="U119" s="168">
        <f t="shared" si="43"/>
        <v>52.584073019381684</v>
      </c>
      <c r="V119" s="168">
        <f t="shared" si="43"/>
        <v>53.63575447976932</v>
      </c>
      <c r="W119" s="169">
        <f t="shared" si="43"/>
        <v>54.7084695693647</v>
      </c>
      <c r="X119" s="142" t="s">
        <v>154</v>
      </c>
    </row>
    <row r="120" spans="1:24" ht="15" customHeight="1">
      <c r="A120" s="155" t="s">
        <v>101</v>
      </c>
      <c r="B120" s="209">
        <v>0.03</v>
      </c>
      <c r="C120" s="210">
        <v>0.03</v>
      </c>
      <c r="D120" s="209">
        <f t="shared" si="38"/>
        <v>0.03</v>
      </c>
      <c r="E120" s="210">
        <f t="shared" si="39"/>
        <v>0.03</v>
      </c>
      <c r="F120" s="159">
        <f t="shared" si="40"/>
        <v>1256.2263850254812</v>
      </c>
      <c r="G120" s="160">
        <f t="shared" si="40"/>
        <v>1293.9131765762456</v>
      </c>
      <c r="H120" s="160">
        <f t="shared" si="40"/>
        <v>1332.730571873533</v>
      </c>
      <c r="I120" s="160">
        <f t="shared" si="40"/>
        <v>1372.7124890297391</v>
      </c>
      <c r="J120" s="160">
        <f t="shared" si="40"/>
        <v>1413.8938637006313</v>
      </c>
      <c r="K120" s="160">
        <f t="shared" si="40"/>
        <v>1456.3106796116504</v>
      </c>
      <c r="L120" s="171">
        <v>1500</v>
      </c>
      <c r="M120" s="160">
        <f t="shared" si="41"/>
        <v>1545</v>
      </c>
      <c r="N120" s="168">
        <f t="shared" si="41"/>
        <v>1591.3500000000001</v>
      </c>
      <c r="O120" s="168">
        <f t="shared" si="41"/>
        <v>1639.0905000000002</v>
      </c>
      <c r="P120" s="169">
        <f t="shared" si="41"/>
        <v>1688.2632150000004</v>
      </c>
      <c r="Q120" s="170">
        <f t="shared" si="42"/>
        <v>1738.9111114500004</v>
      </c>
      <c r="R120" s="169">
        <f t="shared" si="42"/>
        <v>1791.0784447935005</v>
      </c>
      <c r="S120" s="170">
        <f t="shared" si="43"/>
        <v>1844.8107981373055</v>
      </c>
      <c r="T120" s="168">
        <f t="shared" si="43"/>
        <v>1900.1551220814247</v>
      </c>
      <c r="U120" s="168">
        <f t="shared" si="43"/>
        <v>1957.1597757438674</v>
      </c>
      <c r="V120" s="168">
        <f t="shared" si="43"/>
        <v>2015.8745690161834</v>
      </c>
      <c r="W120" s="169">
        <f t="shared" si="43"/>
        <v>2076.350806086669</v>
      </c>
      <c r="X120" s="142" t="s">
        <v>150</v>
      </c>
    </row>
    <row r="121" spans="1:24" ht="15" customHeight="1">
      <c r="A121" s="178" t="s">
        <v>16</v>
      </c>
      <c r="B121" s="217">
        <v>0</v>
      </c>
      <c r="C121" s="218">
        <v>0</v>
      </c>
      <c r="D121" s="217">
        <f t="shared" si="38"/>
        <v>0</v>
      </c>
      <c r="E121" s="218">
        <f t="shared" si="39"/>
        <v>0</v>
      </c>
      <c r="F121" s="219">
        <f t="shared" si="40"/>
        <v>26.28</v>
      </c>
      <c r="G121" s="220">
        <f t="shared" si="40"/>
        <v>26.28</v>
      </c>
      <c r="H121" s="220">
        <f t="shared" si="40"/>
        <v>26.28</v>
      </c>
      <c r="I121" s="220">
        <f t="shared" si="40"/>
        <v>26.28</v>
      </c>
      <c r="J121" s="220">
        <f t="shared" si="40"/>
        <v>26.28</v>
      </c>
      <c r="K121" s="220">
        <f t="shared" si="40"/>
        <v>26.28</v>
      </c>
      <c r="L121" s="221">
        <f>3*365*24/1000</f>
        <v>26.28</v>
      </c>
      <c r="M121" s="220">
        <f t="shared" si="41"/>
        <v>26.28</v>
      </c>
      <c r="N121" s="233">
        <f t="shared" si="41"/>
        <v>26.28</v>
      </c>
      <c r="O121" s="233">
        <f t="shared" si="41"/>
        <v>26.28</v>
      </c>
      <c r="P121" s="234">
        <f t="shared" si="41"/>
        <v>26.28</v>
      </c>
      <c r="Q121" s="235">
        <f t="shared" si="42"/>
        <v>26.28</v>
      </c>
      <c r="R121" s="234">
        <f t="shared" si="42"/>
        <v>26.28</v>
      </c>
      <c r="S121" s="235">
        <f t="shared" si="43"/>
        <v>26.28</v>
      </c>
      <c r="T121" s="233">
        <f t="shared" si="43"/>
        <v>26.28</v>
      </c>
      <c r="U121" s="233">
        <f t="shared" si="43"/>
        <v>26.28</v>
      </c>
      <c r="V121" s="233">
        <f t="shared" si="43"/>
        <v>26.28</v>
      </c>
      <c r="W121" s="234">
        <f t="shared" si="43"/>
        <v>26.28</v>
      </c>
      <c r="X121" s="142" t="s">
        <v>155</v>
      </c>
    </row>
    <row r="122" spans="1:23" ht="15" customHeight="1">
      <c r="A122" s="236"/>
      <c r="B122" s="237"/>
      <c r="C122" s="237"/>
      <c r="D122" s="237"/>
      <c r="E122" s="237"/>
      <c r="F122" s="238"/>
      <c r="G122" s="238"/>
      <c r="H122" s="238"/>
      <c r="I122" s="238"/>
      <c r="J122" s="238"/>
      <c r="K122" s="238"/>
      <c r="L122" s="239"/>
      <c r="M122" s="238"/>
      <c r="N122" s="240"/>
      <c r="O122" s="240"/>
      <c r="P122" s="240"/>
      <c r="Q122" s="240"/>
      <c r="R122" s="240"/>
      <c r="S122" s="240"/>
      <c r="T122" s="240"/>
      <c r="U122" s="240"/>
      <c r="V122" s="240"/>
      <c r="W122" s="240"/>
    </row>
    <row r="123" spans="1:23" ht="15" customHeight="1">
      <c r="A123" s="236"/>
      <c r="B123" s="237"/>
      <c r="C123" s="237"/>
      <c r="D123" s="237"/>
      <c r="E123" s="237"/>
      <c r="F123" s="238"/>
      <c r="G123" s="238"/>
      <c r="H123" s="238"/>
      <c r="I123" s="238"/>
      <c r="J123" s="238"/>
      <c r="K123" s="238"/>
      <c r="L123" s="239"/>
      <c r="M123" s="238"/>
      <c r="N123" s="240"/>
      <c r="O123" s="240"/>
      <c r="P123" s="240"/>
      <c r="Q123" s="240"/>
      <c r="R123" s="240"/>
      <c r="S123" s="240"/>
      <c r="T123" s="240"/>
      <c r="U123" s="240"/>
      <c r="V123" s="240"/>
      <c r="W123" s="240"/>
    </row>
    <row r="124" spans="1:23" ht="15" customHeight="1">
      <c r="A124" s="236"/>
      <c r="B124" s="237"/>
      <c r="C124" s="237"/>
      <c r="D124" s="237"/>
      <c r="E124" s="237"/>
      <c r="F124" s="238"/>
      <c r="G124" s="238"/>
      <c r="H124" s="238"/>
      <c r="I124" s="238"/>
      <c r="J124" s="238"/>
      <c r="K124" s="238"/>
      <c r="L124" s="239"/>
      <c r="M124" s="238"/>
      <c r="N124" s="240"/>
      <c r="O124" s="240"/>
      <c r="P124" s="241">
        <f aca="true" t="shared" si="45" ref="P124:P127">P129/$P$133</f>
        <v>0.26934431216808974</v>
      </c>
      <c r="Q124" s="240"/>
      <c r="R124" s="240"/>
      <c r="S124" s="240"/>
      <c r="T124" s="240"/>
      <c r="U124" s="240"/>
      <c r="V124" s="240"/>
      <c r="W124" s="240"/>
    </row>
    <row r="125" spans="1:23" ht="15" customHeight="1">
      <c r="A125" s="242"/>
      <c r="B125" s="242"/>
      <c r="C125" s="242"/>
      <c r="D125" s="242"/>
      <c r="E125" s="242"/>
      <c r="F125" s="242"/>
      <c r="G125" s="242"/>
      <c r="H125" s="242"/>
      <c r="I125" s="242"/>
      <c r="J125" s="242"/>
      <c r="K125" s="242"/>
      <c r="L125" s="242"/>
      <c r="M125" s="242"/>
      <c r="N125" s="242"/>
      <c r="O125" s="242"/>
      <c r="P125" s="241">
        <f t="shared" si="45"/>
        <v>0.527305224086187</v>
      </c>
      <c r="Q125" s="242"/>
      <c r="R125" s="242"/>
      <c r="S125" s="242"/>
      <c r="T125" s="242"/>
      <c r="U125" s="242"/>
      <c r="V125" s="242"/>
      <c r="W125" s="242"/>
    </row>
    <row r="126" spans="1:23" ht="15" customHeight="1">
      <c r="A126" s="207"/>
      <c r="B126" s="207"/>
      <c r="C126" s="207"/>
      <c r="D126" s="207"/>
      <c r="E126" s="207"/>
      <c r="F126" s="142"/>
      <c r="G126" s="142"/>
      <c r="H126" s="142"/>
      <c r="I126" s="142"/>
      <c r="J126" s="142"/>
      <c r="K126" s="142"/>
      <c r="L126" s="142"/>
      <c r="M126" s="208"/>
      <c r="N126" s="208"/>
      <c r="O126" s="208"/>
      <c r="P126" s="241">
        <f t="shared" si="45"/>
        <v>0.7966495362542767</v>
      </c>
      <c r="Q126" s="208"/>
      <c r="R126" s="208"/>
      <c r="S126" s="208"/>
      <c r="T126" s="208"/>
      <c r="U126" s="208"/>
      <c r="V126" s="208"/>
      <c r="W126" s="208"/>
    </row>
    <row r="127" spans="1:23" ht="15" customHeight="1">
      <c r="A127" s="207"/>
      <c r="B127" s="207"/>
      <c r="C127" s="207"/>
      <c r="D127" s="207"/>
      <c r="E127" s="207"/>
      <c r="F127" s="142"/>
      <c r="G127" s="142"/>
      <c r="H127" s="142"/>
      <c r="I127" s="142"/>
      <c r="J127" s="142"/>
      <c r="K127" s="142"/>
      <c r="L127" s="142"/>
      <c r="M127" s="208"/>
      <c r="N127" s="208"/>
      <c r="O127" s="208"/>
      <c r="P127" s="241">
        <f t="shared" si="45"/>
        <v>0.20335046374572324</v>
      </c>
      <c r="Q127" s="208"/>
      <c r="R127" s="208"/>
      <c r="S127" s="208"/>
      <c r="T127" s="208"/>
      <c r="U127" s="208"/>
      <c r="V127" s="208"/>
      <c r="W127" s="208"/>
    </row>
    <row r="128" spans="1:25" ht="30" customHeight="1">
      <c r="A128" s="151" t="s">
        <v>156</v>
      </c>
      <c r="B128" s="153" t="s">
        <v>70</v>
      </c>
      <c r="C128" s="154" t="s">
        <v>71</v>
      </c>
      <c r="D128" s="153" t="s">
        <v>72</v>
      </c>
      <c r="E128" s="154" t="s">
        <v>73</v>
      </c>
      <c r="F128" s="153">
        <v>2013</v>
      </c>
      <c r="G128" s="152">
        <v>2014</v>
      </c>
      <c r="H128" s="152">
        <v>2015</v>
      </c>
      <c r="I128" s="152">
        <v>2016</v>
      </c>
      <c r="J128" s="152">
        <v>2017</v>
      </c>
      <c r="K128" s="152">
        <v>2018</v>
      </c>
      <c r="L128" s="152">
        <v>2019</v>
      </c>
      <c r="M128" s="152">
        <v>2020</v>
      </c>
      <c r="N128" s="152">
        <v>2021</v>
      </c>
      <c r="O128" s="152">
        <v>2022</v>
      </c>
      <c r="P128" s="154">
        <v>2023</v>
      </c>
      <c r="Q128" s="153">
        <v>2024</v>
      </c>
      <c r="R128" s="154">
        <v>2025</v>
      </c>
      <c r="S128" s="153">
        <v>2026</v>
      </c>
      <c r="T128" s="152">
        <v>2027</v>
      </c>
      <c r="U128" s="152">
        <v>2028</v>
      </c>
      <c r="V128" s="152">
        <v>2029</v>
      </c>
      <c r="W128" s="154">
        <v>2030</v>
      </c>
      <c r="Y128" s="142" t="s">
        <v>157</v>
      </c>
    </row>
    <row r="129" spans="1:27" ht="15" customHeight="1">
      <c r="A129" s="155" t="s">
        <v>158</v>
      </c>
      <c r="B129" s="209"/>
      <c r="C129" s="227">
        <v>0.15</v>
      </c>
      <c r="D129" s="243">
        <f t="shared" si="38"/>
        <v>0.15</v>
      </c>
      <c r="E129" s="225">
        <f>'Update Scenarios'!D15</f>
        <v>0.09</v>
      </c>
      <c r="F129" s="244">
        <v>342.72</v>
      </c>
      <c r="G129" s="245">
        <v>388.8</v>
      </c>
      <c r="H129" s="245">
        <v>506.48275862068965</v>
      </c>
      <c r="I129" s="245">
        <v>587.52</v>
      </c>
      <c r="J129" s="246">
        <v>702</v>
      </c>
      <c r="K129" s="168">
        <f>J129*1.15</f>
        <v>807.3</v>
      </c>
      <c r="L129" s="168">
        <f>K129*1.15</f>
        <v>928.3949999999999</v>
      </c>
      <c r="M129" s="160">
        <f t="shared" si="41"/>
        <v>1067.6542499999998</v>
      </c>
      <c r="N129" s="160">
        <f t="shared" si="41"/>
        <v>1227.8023874999997</v>
      </c>
      <c r="O129" s="171">
        <f t="shared" si="41"/>
        <v>1411.9727456249996</v>
      </c>
      <c r="P129" s="247">
        <f t="shared" si="41"/>
        <v>1623.7686574687493</v>
      </c>
      <c r="Q129" s="248">
        <f t="shared" si="42"/>
        <v>1867.3339560890615</v>
      </c>
      <c r="R129" s="247">
        <f aca="true" t="shared" si="46" ref="R129:R130">(1+$D129)*Q129</f>
        <v>2147.4340495024207</v>
      </c>
      <c r="S129" s="249">
        <f t="shared" si="43"/>
        <v>2340.703113957639</v>
      </c>
      <c r="T129" s="193">
        <f aca="true" t="shared" si="47" ref="T129:W130">(1+$E129)*S129</f>
        <v>2551.3663942138264</v>
      </c>
      <c r="U129" s="193">
        <f t="shared" si="47"/>
        <v>2780.989369693071</v>
      </c>
      <c r="V129" s="193">
        <f t="shared" si="47"/>
        <v>3031.2784129654474</v>
      </c>
      <c r="W129" s="250">
        <f t="shared" si="47"/>
        <v>3304.093470132338</v>
      </c>
      <c r="Y129" s="142" t="s">
        <v>159</v>
      </c>
      <c r="Z129" s="251">
        <v>0.12</v>
      </c>
      <c r="AA129" s="142" t="s">
        <v>160</v>
      </c>
    </row>
    <row r="130" spans="1:26" ht="15" customHeight="1">
      <c r="A130" s="155" t="s">
        <v>161</v>
      </c>
      <c r="B130" s="209"/>
      <c r="C130" s="227">
        <v>0.31</v>
      </c>
      <c r="D130" s="243">
        <f t="shared" si="38"/>
        <v>0.31</v>
      </c>
      <c r="E130" s="225">
        <f>'Update Scenarios'!D16</f>
        <v>0.13</v>
      </c>
      <c r="F130" s="170">
        <v>250.92</v>
      </c>
      <c r="G130" s="168">
        <v>302.4</v>
      </c>
      <c r="H130" s="168">
        <v>403.2</v>
      </c>
      <c r="I130" s="168">
        <v>483.84</v>
      </c>
      <c r="J130" s="190">
        <v>629</v>
      </c>
      <c r="K130" s="168">
        <f>J130*1.31</f>
        <v>823.99</v>
      </c>
      <c r="L130" s="168">
        <f>K130*1.31</f>
        <v>1079.4269000000002</v>
      </c>
      <c r="M130" s="168">
        <f t="shared" si="41"/>
        <v>1414.0492390000002</v>
      </c>
      <c r="N130" s="160">
        <f t="shared" si="41"/>
        <v>1852.4045030900004</v>
      </c>
      <c r="O130" s="171">
        <f t="shared" si="41"/>
        <v>2426.649899047901</v>
      </c>
      <c r="P130" s="247">
        <f t="shared" si="41"/>
        <v>3178.9113677527503</v>
      </c>
      <c r="Q130" s="248">
        <f t="shared" si="42"/>
        <v>4164.373891756103</v>
      </c>
      <c r="R130" s="247">
        <f t="shared" si="46"/>
        <v>5455.329798200495</v>
      </c>
      <c r="S130" s="249">
        <f t="shared" si="43"/>
        <v>6164.522671966559</v>
      </c>
      <c r="T130" s="193">
        <f t="shared" si="47"/>
        <v>6965.910619322211</v>
      </c>
      <c r="U130" s="193">
        <f>(1+$E130)*T130</f>
        <v>7871.4789998340975</v>
      </c>
      <c r="V130" s="193">
        <f t="shared" si="47"/>
        <v>8894.771269812529</v>
      </c>
      <c r="W130" s="250">
        <f t="shared" si="47"/>
        <v>10051.091534888157</v>
      </c>
      <c r="Y130" s="142" t="s">
        <v>162</v>
      </c>
      <c r="Z130" s="142">
        <f>POWER(1.12,6)</f>
        <v>1.9738226851840008</v>
      </c>
    </row>
    <row r="131" spans="1:26" ht="15" customHeight="1">
      <c r="A131" s="155" t="s">
        <v>163</v>
      </c>
      <c r="B131" s="209"/>
      <c r="C131" s="227"/>
      <c r="D131" s="243"/>
      <c r="E131" s="225"/>
      <c r="F131" s="170">
        <f>SUM(F129:F130)</f>
        <v>593.64</v>
      </c>
      <c r="G131" s="168">
        <f>SUM(G129:G130)</f>
        <v>691.2</v>
      </c>
      <c r="H131" s="168">
        <f>SUM(H129:H130)</f>
        <v>909.6827586206896</v>
      </c>
      <c r="I131" s="168">
        <f>SUM(I129:I130)</f>
        <v>1071.36</v>
      </c>
      <c r="J131" s="168">
        <f>SUM(J129:J130)</f>
        <v>1331</v>
      </c>
      <c r="K131" s="168">
        <f aca="true" t="shared" si="48" ref="K131:V131">SUM(K129:K130)</f>
        <v>1631.29</v>
      </c>
      <c r="L131" s="168">
        <f t="shared" si="48"/>
        <v>2007.8219</v>
      </c>
      <c r="M131" s="160">
        <f t="shared" si="48"/>
        <v>2481.703489</v>
      </c>
      <c r="N131" s="160">
        <f t="shared" si="48"/>
        <v>3080.20689059</v>
      </c>
      <c r="O131" s="160">
        <f t="shared" si="48"/>
        <v>3838.6226446729006</v>
      </c>
      <c r="P131" s="161">
        <f t="shared" si="48"/>
        <v>4802.6800252215</v>
      </c>
      <c r="Q131" s="159">
        <f t="shared" si="48"/>
        <v>6031.707847845165</v>
      </c>
      <c r="R131" s="161">
        <f t="shared" si="48"/>
        <v>7602.763847702916</v>
      </c>
      <c r="S131" s="249">
        <f>SUM(S129:S130)</f>
        <v>8505.225785924198</v>
      </c>
      <c r="T131" s="193">
        <f t="shared" si="48"/>
        <v>9517.277013536037</v>
      </c>
      <c r="U131" s="193">
        <f t="shared" si="48"/>
        <v>10652.468369527169</v>
      </c>
      <c r="V131" s="193">
        <f t="shared" si="48"/>
        <v>11926.049682777975</v>
      </c>
      <c r="W131" s="250">
        <f>SUM(W129:W130)</f>
        <v>13355.185005020496</v>
      </c>
      <c r="Y131" s="142" t="s">
        <v>164</v>
      </c>
      <c r="Z131" s="208">
        <f>P131*Z130</f>
        <v>9479.638783462266</v>
      </c>
    </row>
    <row r="132" spans="1:23" ht="15" customHeight="1">
      <c r="A132" s="155" t="s">
        <v>165</v>
      </c>
      <c r="B132" s="209">
        <v>0.66</v>
      </c>
      <c r="C132" s="252">
        <v>0.37</v>
      </c>
      <c r="D132" s="243">
        <f t="shared" si="38"/>
        <v>0.37</v>
      </c>
      <c r="E132" s="225">
        <f>'Update Scenarios'!D17</f>
        <v>0.23</v>
      </c>
      <c r="F132" s="170">
        <v>16</v>
      </c>
      <c r="G132" s="168">
        <v>28.799999999999955</v>
      </c>
      <c r="H132" s="168">
        <v>58.9041095890411</v>
      </c>
      <c r="I132" s="168">
        <v>86</v>
      </c>
      <c r="J132" s="168">
        <v>133</v>
      </c>
      <c r="K132" s="168">
        <f>19*12</f>
        <v>228</v>
      </c>
      <c r="L132" s="168">
        <f>29*12</f>
        <v>348</v>
      </c>
      <c r="M132" s="160">
        <f aca="true" t="shared" si="49" ref="M132:O132">(1+$C132)*L132</f>
        <v>476.76000000000005</v>
      </c>
      <c r="N132" s="160">
        <f t="shared" si="49"/>
        <v>653.1612000000001</v>
      </c>
      <c r="O132" s="160">
        <f t="shared" si="49"/>
        <v>894.8308440000002</v>
      </c>
      <c r="P132" s="161">
        <f>(1+$C132)*O132</f>
        <v>1225.9182562800004</v>
      </c>
      <c r="Q132" s="159">
        <f>(1+$D132)*P132</f>
        <v>1679.5080111036007</v>
      </c>
      <c r="R132" s="161">
        <f>(1+$D132)*Q132</f>
        <v>2300.9259752119333</v>
      </c>
      <c r="S132" s="253">
        <f>(1+$E132)*R132</f>
        <v>2830.138949510678</v>
      </c>
      <c r="T132" s="254">
        <f>(1+$E132)*S132</f>
        <v>3481.0709078981336</v>
      </c>
      <c r="U132" s="254">
        <f>(1+$E132)*T132</f>
        <v>4281.717216714705</v>
      </c>
      <c r="V132" s="254">
        <f aca="true" t="shared" si="50" ref="V132:W132">(1+$E132)*U132</f>
        <v>5266.512176559087</v>
      </c>
      <c r="W132" s="255">
        <f t="shared" si="50"/>
        <v>6477.809977167676</v>
      </c>
    </row>
    <row r="133" spans="1:27" ht="15" customHeight="1">
      <c r="A133" s="197" t="s">
        <v>166</v>
      </c>
      <c r="B133" s="229"/>
      <c r="C133" s="256"/>
      <c r="D133" s="257"/>
      <c r="E133" s="258"/>
      <c r="F133" s="205">
        <f aca="true" t="shared" si="51" ref="F133:S133">SUM(F131:F132)</f>
        <v>609.64</v>
      </c>
      <c r="G133" s="203">
        <f t="shared" si="51"/>
        <v>720</v>
      </c>
      <c r="H133" s="203">
        <f t="shared" si="51"/>
        <v>968.5868682097307</v>
      </c>
      <c r="I133" s="203">
        <f t="shared" si="51"/>
        <v>1157.36</v>
      </c>
      <c r="J133" s="203">
        <f t="shared" si="51"/>
        <v>1464</v>
      </c>
      <c r="K133" s="203">
        <f t="shared" si="51"/>
        <v>1859.29</v>
      </c>
      <c r="L133" s="203">
        <f t="shared" si="51"/>
        <v>2355.8219</v>
      </c>
      <c r="M133" s="202">
        <f t="shared" si="51"/>
        <v>2958.463489</v>
      </c>
      <c r="N133" s="202">
        <f t="shared" si="51"/>
        <v>3733.36809059</v>
      </c>
      <c r="O133" s="202">
        <f t="shared" si="51"/>
        <v>4733.453488672901</v>
      </c>
      <c r="P133" s="259">
        <f t="shared" si="51"/>
        <v>6028.5982815015</v>
      </c>
      <c r="Q133" s="201">
        <f t="shared" si="51"/>
        <v>7711.215858948765</v>
      </c>
      <c r="R133" s="259">
        <f t="shared" si="51"/>
        <v>9903.68982291485</v>
      </c>
      <c r="S133" s="260">
        <f t="shared" si="51"/>
        <v>11335.364735434876</v>
      </c>
      <c r="T133" s="261">
        <f aca="true" t="shared" si="52" ref="T133:W133">SUM(T131:T132)</f>
        <v>12998.347921434171</v>
      </c>
      <c r="U133" s="261">
        <f t="shared" si="52"/>
        <v>14934.185586241874</v>
      </c>
      <c r="V133" s="261">
        <f t="shared" si="52"/>
        <v>17192.56185933706</v>
      </c>
      <c r="W133" s="262">
        <f t="shared" si="52"/>
        <v>19832.99498218817</v>
      </c>
      <c r="Z133" s="142">
        <f>V131/P131</f>
        <v>2.483207213503245</v>
      </c>
      <c r="AA133" s="142">
        <f>POWER(1.16,6)</f>
        <v>2.4363963228159995</v>
      </c>
    </row>
    <row r="134" spans="1:23" ht="15" customHeight="1">
      <c r="A134" s="155" t="s">
        <v>167</v>
      </c>
      <c r="B134" s="209"/>
      <c r="C134" s="227">
        <v>0.3</v>
      </c>
      <c r="D134" s="243">
        <f t="shared" si="38"/>
        <v>0.3</v>
      </c>
      <c r="E134" s="216">
        <f aca="true" t="shared" si="53" ref="E134:E135">D134</f>
        <v>0.3</v>
      </c>
      <c r="F134" s="170">
        <f aca="true" t="shared" si="54" ref="F134:L135">F207</f>
        <v>698.0325120000001</v>
      </c>
      <c r="G134" s="168">
        <f aca="true" t="shared" si="55" ref="G134:L134">G207</f>
        <v>1008.032</v>
      </c>
      <c r="H134" s="168">
        <f t="shared" si="55"/>
        <v>1598.0000000000002</v>
      </c>
      <c r="I134" s="168">
        <f t="shared" si="55"/>
        <v>2652</v>
      </c>
      <c r="J134" s="168">
        <f t="shared" si="55"/>
        <v>3800.9790000000003</v>
      </c>
      <c r="K134" s="168">
        <f t="shared" si="55"/>
        <v>5189.213484</v>
      </c>
      <c r="L134" s="168">
        <f t="shared" si="55"/>
        <v>6755.416529588999</v>
      </c>
      <c r="M134" s="160">
        <f aca="true" t="shared" si="56" ref="M134:P135">(1+$C134)*L134</f>
        <v>8782.041488465698</v>
      </c>
      <c r="N134" s="160">
        <f t="shared" si="56"/>
        <v>11416.653935005408</v>
      </c>
      <c r="O134" s="263">
        <f t="shared" si="56"/>
        <v>14841.650115507031</v>
      </c>
      <c r="P134" s="264">
        <f t="shared" si="56"/>
        <v>19294.14515015914</v>
      </c>
      <c r="Q134" s="265">
        <f aca="true" t="shared" si="57" ref="Q134:Q135">(1+$D134)*P134</f>
        <v>25082.388695206882</v>
      </c>
      <c r="R134" s="264">
        <f aca="true" t="shared" si="58" ref="R134:R135">(1+$D134)*Q134</f>
        <v>32607.10530376895</v>
      </c>
      <c r="S134" s="249">
        <f aca="true" t="shared" si="59" ref="S134:S135">(1+$E134)*R134</f>
        <v>42389.23689489964</v>
      </c>
      <c r="T134" s="193">
        <f aca="true" t="shared" si="60" ref="T134:W135">(1+$E134)*S134</f>
        <v>55106.00796336953</v>
      </c>
      <c r="U134" s="193">
        <f t="shared" si="60"/>
        <v>71637.81035238039</v>
      </c>
      <c r="V134" s="193">
        <f t="shared" si="60"/>
        <v>93129.1534580945</v>
      </c>
      <c r="W134" s="250">
        <f t="shared" si="60"/>
        <v>121067.89949552286</v>
      </c>
    </row>
    <row r="135" spans="1:23" ht="15" customHeight="1">
      <c r="A135" s="155" t="s">
        <v>168</v>
      </c>
      <c r="B135" s="209"/>
      <c r="C135" s="227">
        <v>0.13</v>
      </c>
      <c r="D135" s="243">
        <f t="shared" si="38"/>
        <v>0.13</v>
      </c>
      <c r="E135" s="216">
        <f t="shared" si="53"/>
        <v>0.13</v>
      </c>
      <c r="F135" s="170">
        <f t="shared" si="54"/>
        <v>2001.9674879999998</v>
      </c>
      <c r="G135" s="168">
        <f t="shared" si="54"/>
        <v>2391.968</v>
      </c>
      <c r="H135" s="168">
        <f t="shared" si="54"/>
        <v>3102</v>
      </c>
      <c r="I135" s="168">
        <f t="shared" si="54"/>
        <v>4148</v>
      </c>
      <c r="J135" s="168">
        <f t="shared" si="54"/>
        <v>5299.021</v>
      </c>
      <c r="K135" s="168">
        <f t="shared" si="54"/>
        <v>6410.786516</v>
      </c>
      <c r="L135" s="168">
        <f t="shared" si="54"/>
        <v>7344.583470411001</v>
      </c>
      <c r="M135" s="160">
        <f t="shared" si="56"/>
        <v>8299.379321564431</v>
      </c>
      <c r="N135" s="160">
        <f t="shared" si="56"/>
        <v>9378.298633367805</v>
      </c>
      <c r="O135" s="263">
        <f t="shared" si="56"/>
        <v>10597.477455705619</v>
      </c>
      <c r="P135" s="264">
        <f t="shared" si="56"/>
        <v>11975.149524947348</v>
      </c>
      <c r="Q135" s="265">
        <f t="shared" si="57"/>
        <v>13531.918963190503</v>
      </c>
      <c r="R135" s="264">
        <f t="shared" si="58"/>
        <v>15291.068428405266</v>
      </c>
      <c r="S135" s="249">
        <f t="shared" si="59"/>
        <v>17278.90732409795</v>
      </c>
      <c r="T135" s="193">
        <f t="shared" si="60"/>
        <v>19525.16527623068</v>
      </c>
      <c r="U135" s="193">
        <f t="shared" si="60"/>
        <v>22063.436762140667</v>
      </c>
      <c r="V135" s="193">
        <f t="shared" si="60"/>
        <v>24931.68354121895</v>
      </c>
      <c r="W135" s="250">
        <f t="shared" si="60"/>
        <v>28172.80240157741</v>
      </c>
    </row>
    <row r="136" spans="1:23" ht="15" customHeight="1">
      <c r="A136" s="197" t="s">
        <v>169</v>
      </c>
      <c r="B136" s="229"/>
      <c r="C136" s="256"/>
      <c r="D136" s="257"/>
      <c r="E136" s="258"/>
      <c r="F136" s="205">
        <f aca="true" t="shared" si="61" ref="F136:S136">SUM(F134:F135)</f>
        <v>2700</v>
      </c>
      <c r="G136" s="203">
        <f t="shared" si="61"/>
        <v>3400</v>
      </c>
      <c r="H136" s="203">
        <f t="shared" si="61"/>
        <v>4700</v>
      </c>
      <c r="I136" s="203">
        <f t="shared" si="61"/>
        <v>6800</v>
      </c>
      <c r="J136" s="204">
        <f t="shared" si="61"/>
        <v>9100</v>
      </c>
      <c r="K136" s="203">
        <f t="shared" si="61"/>
        <v>11600</v>
      </c>
      <c r="L136" s="203">
        <f t="shared" si="61"/>
        <v>14100</v>
      </c>
      <c r="M136" s="202">
        <f t="shared" si="61"/>
        <v>17081.42081003013</v>
      </c>
      <c r="N136" s="202">
        <f t="shared" si="61"/>
        <v>20794.952568373214</v>
      </c>
      <c r="O136" s="202">
        <f t="shared" si="61"/>
        <v>25439.12757121265</v>
      </c>
      <c r="P136" s="266">
        <f t="shared" si="61"/>
        <v>31269.29467510649</v>
      </c>
      <c r="Q136" s="267">
        <f t="shared" si="61"/>
        <v>38614.30765839739</v>
      </c>
      <c r="R136" s="266">
        <f t="shared" si="61"/>
        <v>47898.17373217421</v>
      </c>
      <c r="S136" s="260">
        <f t="shared" si="61"/>
        <v>59668.144218997586</v>
      </c>
      <c r="T136" s="261">
        <f aca="true" t="shared" si="62" ref="T136:W136">SUM(T134:T135)</f>
        <v>74631.1732396002</v>
      </c>
      <c r="U136" s="261">
        <f t="shared" si="62"/>
        <v>93701.24711452106</v>
      </c>
      <c r="V136" s="261">
        <f t="shared" si="62"/>
        <v>118060.83699931345</v>
      </c>
      <c r="W136" s="262">
        <f t="shared" si="62"/>
        <v>149240.70189710025</v>
      </c>
    </row>
    <row r="137" spans="1:5" ht="15" customHeight="1">
      <c r="A137" s="223"/>
      <c r="B137" s="223"/>
      <c r="C137" s="223"/>
      <c r="D137" s="223"/>
      <c r="E137" s="223"/>
    </row>
    <row r="138" spans="1:5" ht="15" customHeight="1">
      <c r="A138" s="223"/>
      <c r="B138" s="223"/>
      <c r="C138" s="223"/>
      <c r="D138" s="223"/>
      <c r="E138" s="223"/>
    </row>
    <row r="139" spans="1:23" ht="30" customHeight="1">
      <c r="A139" s="268" t="s">
        <v>170</v>
      </c>
      <c r="B139" s="269" t="s">
        <v>70</v>
      </c>
      <c r="C139" s="154" t="s">
        <v>71</v>
      </c>
      <c r="D139" s="269" t="s">
        <v>72</v>
      </c>
      <c r="E139" s="270" t="s">
        <v>73</v>
      </c>
      <c r="F139" s="269">
        <v>2013</v>
      </c>
      <c r="G139" s="271">
        <v>2014</v>
      </c>
      <c r="H139" s="271">
        <v>2015</v>
      </c>
      <c r="I139" s="271">
        <v>2016</v>
      </c>
      <c r="J139" s="271">
        <v>2017</v>
      </c>
      <c r="K139" s="271">
        <v>2018</v>
      </c>
      <c r="L139" s="271">
        <v>2019</v>
      </c>
      <c r="M139" s="271">
        <v>2020</v>
      </c>
      <c r="N139" s="271">
        <v>2021</v>
      </c>
      <c r="O139" s="271">
        <v>2022</v>
      </c>
      <c r="P139" s="270">
        <v>2023</v>
      </c>
      <c r="Q139" s="269">
        <v>2024</v>
      </c>
      <c r="R139" s="270">
        <v>2025</v>
      </c>
      <c r="S139" s="269">
        <v>2026</v>
      </c>
      <c r="T139" s="271">
        <v>2027</v>
      </c>
      <c r="U139" s="271">
        <v>2028</v>
      </c>
      <c r="V139" s="271">
        <v>2029</v>
      </c>
      <c r="W139" s="270">
        <v>2030</v>
      </c>
    </row>
    <row r="140" spans="1:23" ht="15" customHeight="1">
      <c r="A140" s="272" t="s">
        <v>158</v>
      </c>
      <c r="B140" s="273">
        <v>-0.25</v>
      </c>
      <c r="C140" s="274">
        <v>-0.22</v>
      </c>
      <c r="D140" s="273">
        <f t="shared" si="38"/>
        <v>-0.22</v>
      </c>
      <c r="E140" s="275">
        <f>'Update Scenarios'!D18</f>
        <v>-0.16</v>
      </c>
      <c r="F140" s="276">
        <f aca="true" t="shared" si="63" ref="F140:K144">G140/(1+$B140)</f>
        <v>0.39330589849108377</v>
      </c>
      <c r="G140" s="277">
        <f t="shared" si="63"/>
        <v>0.29497942386831283</v>
      </c>
      <c r="H140" s="277">
        <f t="shared" si="63"/>
        <v>0.2212345679012346</v>
      </c>
      <c r="I140" s="277">
        <f t="shared" si="63"/>
        <v>0.16592592592592595</v>
      </c>
      <c r="J140" s="277">
        <f t="shared" si="63"/>
        <v>0.12444444444444445</v>
      </c>
      <c r="K140" s="277">
        <f t="shared" si="63"/>
        <v>0.09333333333333334</v>
      </c>
      <c r="L140" s="278">
        <v>0.07</v>
      </c>
      <c r="M140" s="277">
        <f aca="true" t="shared" si="64" ref="M140:P144">(1+$C140)*L140</f>
        <v>0.05460000000000001</v>
      </c>
      <c r="N140" s="277">
        <f t="shared" si="64"/>
        <v>0.04258800000000001</v>
      </c>
      <c r="O140" s="277">
        <f t="shared" si="64"/>
        <v>0.03321864000000001</v>
      </c>
      <c r="P140" s="279">
        <f t="shared" si="64"/>
        <v>0.025910539200000006</v>
      </c>
      <c r="Q140" s="276">
        <f aca="true" t="shared" si="65" ref="Q140:R144">(1+$D140)*P140</f>
        <v>0.020210220576000006</v>
      </c>
      <c r="R140" s="279">
        <f>(1+$D140)*Q140</f>
        <v>0.015763972049280005</v>
      </c>
      <c r="S140" s="280">
        <f aca="true" t="shared" si="66" ref="S140:W144">(1+$E140)*R140</f>
        <v>0.013241736521395204</v>
      </c>
      <c r="T140" s="281">
        <f aca="true" t="shared" si="67" ref="T140:W140">(1+$E140)*S140</f>
        <v>0.01112305867797197</v>
      </c>
      <c r="U140" s="281">
        <f t="shared" si="67"/>
        <v>0.009343369289496455</v>
      </c>
      <c r="V140" s="281">
        <f t="shared" si="67"/>
        <v>0.007848430203177022</v>
      </c>
      <c r="W140" s="282">
        <f t="shared" si="67"/>
        <v>0.006592681370668698</v>
      </c>
    </row>
    <row r="141" spans="1:23" ht="15" customHeight="1">
      <c r="A141" s="155" t="s">
        <v>161</v>
      </c>
      <c r="B141" s="209">
        <v>-0.25</v>
      </c>
      <c r="C141" s="210">
        <v>-0.22</v>
      </c>
      <c r="D141" s="209">
        <f t="shared" si="38"/>
        <v>-0.22</v>
      </c>
      <c r="E141" s="225">
        <f>'Update Scenarios'!D19</f>
        <v>-0.16</v>
      </c>
      <c r="F141" s="165">
        <f t="shared" si="63"/>
        <v>0.39330589849108377</v>
      </c>
      <c r="G141" s="166">
        <f t="shared" si="63"/>
        <v>0.29497942386831283</v>
      </c>
      <c r="H141" s="166">
        <f t="shared" si="63"/>
        <v>0.2212345679012346</v>
      </c>
      <c r="I141" s="166">
        <f t="shared" si="63"/>
        <v>0.16592592592592595</v>
      </c>
      <c r="J141" s="166">
        <f t="shared" si="63"/>
        <v>0.12444444444444445</v>
      </c>
      <c r="K141" s="166">
        <f t="shared" si="63"/>
        <v>0.09333333333333334</v>
      </c>
      <c r="L141" s="283">
        <v>0.07</v>
      </c>
      <c r="M141" s="166">
        <f t="shared" si="64"/>
        <v>0.05460000000000001</v>
      </c>
      <c r="N141" s="166">
        <f t="shared" si="64"/>
        <v>0.04258800000000001</v>
      </c>
      <c r="O141" s="166">
        <f t="shared" si="64"/>
        <v>0.03321864000000001</v>
      </c>
      <c r="P141" s="167">
        <f t="shared" si="64"/>
        <v>0.025910539200000006</v>
      </c>
      <c r="Q141" s="165">
        <f t="shared" si="65"/>
        <v>0.020210220576000006</v>
      </c>
      <c r="R141" s="167">
        <f t="shared" si="65"/>
        <v>0.015763972049280005</v>
      </c>
      <c r="S141" s="172">
        <f t="shared" si="66"/>
        <v>0.013241736521395204</v>
      </c>
      <c r="T141" s="173">
        <f t="shared" si="66"/>
        <v>0.01112305867797197</v>
      </c>
      <c r="U141" s="173">
        <f t="shared" si="66"/>
        <v>0.009343369289496455</v>
      </c>
      <c r="V141" s="173">
        <f t="shared" si="66"/>
        <v>0.007848430203177022</v>
      </c>
      <c r="W141" s="284">
        <f t="shared" si="66"/>
        <v>0.006592681370668698</v>
      </c>
    </row>
    <row r="142" spans="1:23" ht="15" customHeight="1">
      <c r="A142" s="178" t="s">
        <v>165</v>
      </c>
      <c r="B142" s="217">
        <v>-0.2</v>
      </c>
      <c r="C142" s="218">
        <v>-0.2</v>
      </c>
      <c r="D142" s="217">
        <f t="shared" si="38"/>
        <v>-0.2</v>
      </c>
      <c r="E142" s="285">
        <f>'Update Scenarios'!D20</f>
        <v>-0.15</v>
      </c>
      <c r="F142" s="286">
        <f t="shared" si="63"/>
        <v>2.2888183593749987</v>
      </c>
      <c r="G142" s="287">
        <f t="shared" si="63"/>
        <v>1.8310546874999991</v>
      </c>
      <c r="H142" s="287">
        <f t="shared" si="63"/>
        <v>1.4648437499999993</v>
      </c>
      <c r="I142" s="287">
        <f t="shared" si="63"/>
        <v>1.1718749999999996</v>
      </c>
      <c r="J142" s="287">
        <f t="shared" si="63"/>
        <v>0.9374999999999998</v>
      </c>
      <c r="K142" s="287">
        <f t="shared" si="63"/>
        <v>0.7499999999999999</v>
      </c>
      <c r="L142" s="288">
        <v>0.6</v>
      </c>
      <c r="M142" s="287">
        <f t="shared" si="64"/>
        <v>0.48</v>
      </c>
      <c r="N142" s="287">
        <f t="shared" si="64"/>
        <v>0.384</v>
      </c>
      <c r="O142" s="287">
        <f t="shared" si="64"/>
        <v>0.30720000000000003</v>
      </c>
      <c r="P142" s="289">
        <f t="shared" si="64"/>
        <v>0.24576000000000003</v>
      </c>
      <c r="Q142" s="286">
        <f t="shared" si="65"/>
        <v>0.19660800000000003</v>
      </c>
      <c r="R142" s="289">
        <f t="shared" si="65"/>
        <v>0.15728640000000005</v>
      </c>
      <c r="S142" s="181">
        <f t="shared" si="66"/>
        <v>0.13369344000000002</v>
      </c>
      <c r="T142" s="182">
        <f t="shared" si="66"/>
        <v>0.11363942400000002</v>
      </c>
      <c r="U142" s="182">
        <f t="shared" si="66"/>
        <v>0.09659351040000001</v>
      </c>
      <c r="V142" s="182">
        <f t="shared" si="66"/>
        <v>0.08210448384</v>
      </c>
      <c r="W142" s="290">
        <f t="shared" si="66"/>
        <v>0.06978881126400001</v>
      </c>
    </row>
    <row r="143" spans="1:23" ht="15" customHeight="1">
      <c r="A143" s="155" t="s">
        <v>167</v>
      </c>
      <c r="B143" s="209">
        <v>-0.13</v>
      </c>
      <c r="C143" s="210">
        <v>-0.11</v>
      </c>
      <c r="D143" s="209">
        <f t="shared" si="38"/>
        <v>-0.11</v>
      </c>
      <c r="E143" s="216">
        <f aca="true" t="shared" si="68" ref="E143:E144">D143</f>
        <v>-0.11</v>
      </c>
      <c r="F143" s="291">
        <f t="shared" si="63"/>
        <v>0.023983790591528734</v>
      </c>
      <c r="G143" s="292">
        <f t="shared" si="63"/>
        <v>0.020865897814629997</v>
      </c>
      <c r="H143" s="292">
        <f t="shared" si="63"/>
        <v>0.018153331098728097</v>
      </c>
      <c r="I143" s="292">
        <f t="shared" si="63"/>
        <v>0.015793398055893443</v>
      </c>
      <c r="J143" s="292">
        <f t="shared" si="63"/>
        <v>0.013740256308627295</v>
      </c>
      <c r="K143" s="292">
        <f t="shared" si="63"/>
        <v>0.011954022988505746</v>
      </c>
      <c r="L143" s="293">
        <v>0.0104</v>
      </c>
      <c r="M143" s="292">
        <f t="shared" si="64"/>
        <v>0.009256</v>
      </c>
      <c r="N143" s="292">
        <f t="shared" si="64"/>
        <v>0.00823784</v>
      </c>
      <c r="O143" s="292">
        <f t="shared" si="64"/>
        <v>0.0073316776</v>
      </c>
      <c r="P143" s="294">
        <f t="shared" si="64"/>
        <v>0.006525193064</v>
      </c>
      <c r="Q143" s="165">
        <f t="shared" si="65"/>
        <v>0.00580742182696</v>
      </c>
      <c r="R143" s="167">
        <f t="shared" si="65"/>
        <v>0.0051686054259944</v>
      </c>
      <c r="S143" s="172">
        <f t="shared" si="66"/>
        <v>0.0046000588291350165</v>
      </c>
      <c r="T143" s="173">
        <f t="shared" si="66"/>
        <v>0.004094052357930165</v>
      </c>
      <c r="U143" s="173">
        <f t="shared" si="66"/>
        <v>0.0036437065985578465</v>
      </c>
      <c r="V143" s="173">
        <f t="shared" si="66"/>
        <v>0.0032428988727164834</v>
      </c>
      <c r="W143" s="284">
        <f t="shared" si="66"/>
        <v>0.00288617999671767</v>
      </c>
    </row>
    <row r="144" spans="1:23" ht="15" customHeight="1">
      <c r="A144" s="178" t="s">
        <v>171</v>
      </c>
      <c r="B144" s="217">
        <v>-0.12</v>
      </c>
      <c r="C144" s="218">
        <v>-0.1</v>
      </c>
      <c r="D144" s="217">
        <f t="shared" si="38"/>
        <v>-0.1</v>
      </c>
      <c r="E144" s="295">
        <f t="shared" si="68"/>
        <v>-0.1</v>
      </c>
      <c r="F144" s="296">
        <f t="shared" si="63"/>
        <v>0.10271227441240383</v>
      </c>
      <c r="G144" s="297">
        <f t="shared" si="63"/>
        <v>0.09038680148291536</v>
      </c>
      <c r="H144" s="297">
        <f t="shared" si="63"/>
        <v>0.07954038530496552</v>
      </c>
      <c r="I144" s="297">
        <f t="shared" si="63"/>
        <v>0.06999553906836965</v>
      </c>
      <c r="J144" s="297">
        <f t="shared" si="63"/>
        <v>0.06159607438016529</v>
      </c>
      <c r="K144" s="297">
        <f t="shared" si="63"/>
        <v>0.05420454545454546</v>
      </c>
      <c r="L144" s="298">
        <v>0.0477</v>
      </c>
      <c r="M144" s="297">
        <f t="shared" si="64"/>
        <v>0.04293</v>
      </c>
      <c r="N144" s="297">
        <f t="shared" si="64"/>
        <v>0.038637000000000005</v>
      </c>
      <c r="O144" s="297">
        <f t="shared" si="64"/>
        <v>0.03477330000000001</v>
      </c>
      <c r="P144" s="299">
        <f t="shared" si="64"/>
        <v>0.031295970000000006</v>
      </c>
      <c r="Q144" s="286">
        <f t="shared" si="65"/>
        <v>0.028166373000000005</v>
      </c>
      <c r="R144" s="289">
        <f t="shared" si="65"/>
        <v>0.025349735700000004</v>
      </c>
      <c r="S144" s="181">
        <f t="shared" si="66"/>
        <v>0.022814762130000003</v>
      </c>
      <c r="T144" s="182">
        <f t="shared" si="66"/>
        <v>0.020533285917000002</v>
      </c>
      <c r="U144" s="182">
        <f t="shared" si="66"/>
        <v>0.018479957325300004</v>
      </c>
      <c r="V144" s="182">
        <f t="shared" si="66"/>
        <v>0.016631961592770004</v>
      </c>
      <c r="W144" s="290">
        <f t="shared" si="66"/>
        <v>0.014968765433493004</v>
      </c>
    </row>
    <row r="145" ht="15" customHeight="1"/>
    <row r="146" ht="14"/>
    <row r="147" spans="1:24" ht="44">
      <c r="A147" s="300" t="s">
        <v>172</v>
      </c>
      <c r="B147" s="300"/>
      <c r="C147" s="300"/>
      <c r="D147" s="300"/>
      <c r="E147" s="300"/>
      <c r="F147" s="301" t="s">
        <v>173</v>
      </c>
      <c r="G147" s="302" t="s">
        <v>174</v>
      </c>
      <c r="H147" s="303" t="s">
        <v>175</v>
      </c>
      <c r="I147" s="303" t="s">
        <v>176</v>
      </c>
      <c r="J147" s="303" t="s">
        <v>177</v>
      </c>
      <c r="K147" s="304" t="s">
        <v>178</v>
      </c>
      <c r="L147" s="304" t="s">
        <v>179</v>
      </c>
      <c r="M147" s="304" t="s">
        <v>180</v>
      </c>
      <c r="N147" s="305" t="s">
        <v>181</v>
      </c>
      <c r="X147" s="143" t="s">
        <v>182</v>
      </c>
    </row>
    <row r="148" spans="6:25" ht="14.5">
      <c r="F148" s="306" t="s">
        <v>183</v>
      </c>
      <c r="G148" s="307">
        <f>47/9</f>
        <v>5.222222222222222</v>
      </c>
      <c r="H148" s="308">
        <f>37/9</f>
        <v>4.111111111111111</v>
      </c>
      <c r="I148" s="308">
        <v>5.222222222222222</v>
      </c>
      <c r="J148" s="308">
        <f>47/9</f>
        <v>5.222222222222222</v>
      </c>
      <c r="K148" s="309">
        <f>10*0.9*0.9*0.9*0.9</f>
        <v>6.561</v>
      </c>
      <c r="L148" s="310">
        <v>4.6</v>
      </c>
      <c r="M148" s="310"/>
      <c r="N148" s="311"/>
      <c r="X148" s="142" t="s">
        <v>184</v>
      </c>
      <c r="Y148" s="142">
        <f>29.02+32.66+36.49</f>
        <v>98.16999999999999</v>
      </c>
    </row>
    <row r="149" spans="6:25" ht="14.5">
      <c r="F149" s="306" t="s">
        <v>185</v>
      </c>
      <c r="G149" s="307">
        <f>14/35</f>
        <v>0.4</v>
      </c>
      <c r="H149" s="308">
        <f>11/35</f>
        <v>0.3142857142857143</v>
      </c>
      <c r="I149" s="308">
        <v>0.4</v>
      </c>
      <c r="J149" s="308">
        <f>14/35</f>
        <v>0.4</v>
      </c>
      <c r="K149" s="309">
        <f>1*0.85*0.85*0.85*0.85</f>
        <v>0.5220062499999999</v>
      </c>
      <c r="L149" s="310">
        <v>2.139</v>
      </c>
      <c r="M149" s="310"/>
      <c r="N149" s="311"/>
      <c r="X149" s="142" t="s">
        <v>186</v>
      </c>
      <c r="Y149" s="142">
        <f>126+133.86+143.14</f>
        <v>403</v>
      </c>
    </row>
    <row r="150" spans="6:26" ht="14.5">
      <c r="F150" s="306" t="s">
        <v>187</v>
      </c>
      <c r="G150" s="307">
        <f>24/290</f>
        <v>0.08275862068965517</v>
      </c>
      <c r="H150" s="308">
        <f>19/290</f>
        <v>0.06551724137931035</v>
      </c>
      <c r="I150" s="308">
        <v>0.08275862068965517</v>
      </c>
      <c r="J150" s="308">
        <f>24/290</f>
        <v>0.08275862068965517</v>
      </c>
      <c r="K150" s="309">
        <f>0.5*0.8*0.8*0.8*0.8</f>
        <v>0.20480000000000007</v>
      </c>
      <c r="L150" s="310">
        <v>0.089</v>
      </c>
      <c r="M150" s="310"/>
      <c r="N150" s="311"/>
      <c r="Y150" s="142">
        <f>Y149/Y148</f>
        <v>4.105123764897627</v>
      </c>
      <c r="Z150" s="142">
        <f>POWER(1.23,6)</f>
        <v>3.4628259916889994</v>
      </c>
    </row>
    <row r="151" spans="6:25" ht="14.5">
      <c r="F151" s="306" t="s">
        <v>188</v>
      </c>
      <c r="G151" s="312">
        <v>0.06</v>
      </c>
      <c r="H151" s="313">
        <v>0.06</v>
      </c>
      <c r="I151" s="313">
        <v>0.12</v>
      </c>
      <c r="J151" s="308">
        <f>2/46</f>
        <v>0.043478260869565216</v>
      </c>
      <c r="K151" s="309"/>
      <c r="L151" s="310"/>
      <c r="M151" s="310"/>
      <c r="N151" s="311"/>
      <c r="X151" s="142" t="s">
        <v>189</v>
      </c>
      <c r="Y151" s="251">
        <v>0.42</v>
      </c>
    </row>
    <row r="152" spans="6:14" ht="14.5">
      <c r="F152" s="306" t="s">
        <v>190</v>
      </c>
      <c r="G152" s="307">
        <v>0.2</v>
      </c>
      <c r="H152" s="308">
        <v>0.094</v>
      </c>
      <c r="I152" s="308">
        <f>G152*172/392</f>
        <v>0.08775510204081632</v>
      </c>
      <c r="J152" s="308">
        <v>0.088</v>
      </c>
      <c r="K152" s="309">
        <f>0.2*0.25</f>
        <v>0.05</v>
      </c>
      <c r="L152" s="310">
        <v>0.033</v>
      </c>
      <c r="M152" s="310"/>
      <c r="N152" s="311"/>
    </row>
    <row r="153" spans="6:25" ht="14.5">
      <c r="F153" s="306" t="s">
        <v>191</v>
      </c>
      <c r="G153" s="307">
        <v>0.123</v>
      </c>
      <c r="H153" s="308">
        <v>0.056</v>
      </c>
      <c r="I153" s="308">
        <f>G153*69/158</f>
        <v>0.053715189873417724</v>
      </c>
      <c r="J153" s="308">
        <v>0.054</v>
      </c>
      <c r="K153" s="314">
        <f>K152</f>
        <v>0.05</v>
      </c>
      <c r="L153" s="310">
        <v>0.033</v>
      </c>
      <c r="M153" s="310"/>
      <c r="N153" s="311"/>
      <c r="Y153" s="142">
        <f>130/33</f>
        <v>3.9393939393939394</v>
      </c>
    </row>
    <row r="154" spans="6:25" ht="15">
      <c r="F154" s="315" t="s">
        <v>192</v>
      </c>
      <c r="G154" s="316">
        <v>22</v>
      </c>
      <c r="H154" s="317">
        <v>22</v>
      </c>
      <c r="I154" s="317">
        <v>22</v>
      </c>
      <c r="J154" s="317">
        <v>22</v>
      </c>
      <c r="K154" s="318"/>
      <c r="L154" s="319"/>
      <c r="M154" s="319"/>
      <c r="N154" s="311"/>
      <c r="Y154" s="142">
        <f>560/160</f>
        <v>3.5</v>
      </c>
    </row>
    <row r="155" ht="15">
      <c r="N155" s="311"/>
    </row>
    <row r="156" spans="1:24" ht="27">
      <c r="A156" s="320" t="s">
        <v>193</v>
      </c>
      <c r="B156" s="320"/>
      <c r="C156" s="320"/>
      <c r="D156" s="320"/>
      <c r="E156" s="320"/>
      <c r="F156" s="143" t="s">
        <v>194</v>
      </c>
      <c r="G156" s="321">
        <f>G168/$X$156</f>
        <v>0.22988505747126436</v>
      </c>
      <c r="H156" s="321">
        <f>H168/$X$156</f>
        <v>0.22988505747126436</v>
      </c>
      <c r="I156" s="321">
        <f>I168/$X$156</f>
        <v>0.3649425287356322</v>
      </c>
      <c r="J156" s="321">
        <f>J168/$X$156</f>
        <v>0.29310344827586204</v>
      </c>
      <c r="K156" s="321">
        <f>K168/$X$156</f>
        <v>0.43103448275862066</v>
      </c>
      <c r="L156" s="322">
        <f>2.06/5.7</f>
        <v>0.36140350877192984</v>
      </c>
      <c r="M156" s="321"/>
      <c r="N156" s="311">
        <v>0.6</v>
      </c>
      <c r="O156" s="142" t="s">
        <v>195</v>
      </c>
      <c r="X156" s="142">
        <f>29*12</f>
        <v>348</v>
      </c>
    </row>
    <row r="157" spans="1:24" ht="15">
      <c r="A157" s="320" t="s">
        <v>196</v>
      </c>
      <c r="B157" s="320"/>
      <c r="C157" s="320"/>
      <c r="D157" s="320"/>
      <c r="E157" s="320"/>
      <c r="F157" s="143" t="s">
        <v>197</v>
      </c>
      <c r="G157" s="321">
        <f>G169/$X$158</f>
        <v>0.21511627906976744</v>
      </c>
      <c r="H157" s="321">
        <f>H169/$X$158</f>
        <v>0.12403100775193798</v>
      </c>
      <c r="I157" s="321">
        <f>I169/$X$158</f>
        <v>0.11676356589147287</v>
      </c>
      <c r="J157" s="321">
        <f>J169/$X$158</f>
        <v>0.0998062015503876</v>
      </c>
      <c r="K157" s="321">
        <f>K169/$X$158</f>
        <v>0.0436046511627907</v>
      </c>
      <c r="L157" s="322">
        <f>1.44/43.5</f>
        <v>0.03310344827586207</v>
      </c>
      <c r="M157" s="321"/>
      <c r="N157" s="311">
        <v>0.07</v>
      </c>
      <c r="O157" s="142" t="s">
        <v>198</v>
      </c>
      <c r="X157" s="142">
        <f>201*12</f>
        <v>2412</v>
      </c>
    </row>
    <row r="158" spans="6:24" ht="15">
      <c r="F158" s="143" t="s">
        <v>199</v>
      </c>
      <c r="G158" s="321">
        <f>G170/$X$157</f>
        <v>0.21724709784411278</v>
      </c>
      <c r="H158" s="321">
        <f>H170/$X$157</f>
        <v>0.13930348258706468</v>
      </c>
      <c r="I158" s="321">
        <f>I170/$X$157</f>
        <v>0.15257048092868988</v>
      </c>
      <c r="J158" s="321">
        <f>J170/$X$157</f>
        <v>0.12769485903814262</v>
      </c>
      <c r="K158" s="321">
        <f>K170/$X$157</f>
        <v>0.09950248756218906</v>
      </c>
      <c r="L158" s="322">
        <f>3.5/49.2</f>
        <v>0.07113821138211382</v>
      </c>
      <c r="M158" s="321">
        <f>492/$X$157</f>
        <v>0.20398009950248755</v>
      </c>
      <c r="N158" s="311"/>
      <c r="O158" s="142" t="s">
        <v>200</v>
      </c>
      <c r="X158" s="142">
        <f>X157-X156</f>
        <v>2064</v>
      </c>
    </row>
    <row r="159" spans="1:15" ht="27">
      <c r="A159" s="320" t="s">
        <v>201</v>
      </c>
      <c r="B159" s="320"/>
      <c r="C159" s="320"/>
      <c r="D159" s="320"/>
      <c r="E159" s="320"/>
      <c r="F159" s="143" t="s">
        <v>202</v>
      </c>
      <c r="G159" s="142"/>
      <c r="H159" s="142"/>
      <c r="I159" s="142"/>
      <c r="J159" s="142"/>
      <c r="K159" s="323" t="s">
        <v>203</v>
      </c>
      <c r="L159" s="324">
        <v>0.3</v>
      </c>
      <c r="N159" s="311">
        <v>20</v>
      </c>
      <c r="O159" s="251"/>
    </row>
    <row r="160" spans="1:16" ht="14">
      <c r="A160" s="320"/>
      <c r="B160" s="320"/>
      <c r="C160" s="320"/>
      <c r="D160" s="320"/>
      <c r="E160" s="320"/>
      <c r="F160" s="143" t="s">
        <v>204</v>
      </c>
      <c r="G160" s="142"/>
      <c r="H160" s="142"/>
      <c r="I160" s="142">
        <v>20</v>
      </c>
      <c r="J160" s="142">
        <v>20</v>
      </c>
      <c r="K160" s="251">
        <v>0.25</v>
      </c>
      <c r="L160" s="324">
        <v>0.25</v>
      </c>
      <c r="N160" s="311">
        <v>25</v>
      </c>
      <c r="O160" s="251">
        <v>0.3</v>
      </c>
      <c r="P160" s="142" t="s">
        <v>205</v>
      </c>
    </row>
    <row r="161" spans="1:16" ht="44">
      <c r="A161" s="143" t="s">
        <v>206</v>
      </c>
      <c r="B161" s="143">
        <v>3.5815770000000002</v>
      </c>
      <c r="F161" s="301" t="s">
        <v>207</v>
      </c>
      <c r="G161" s="302" t="s">
        <v>174</v>
      </c>
      <c r="H161" s="303" t="s">
        <v>175</v>
      </c>
      <c r="I161" s="303" t="s">
        <v>176</v>
      </c>
      <c r="J161" s="303" t="s">
        <v>177</v>
      </c>
      <c r="K161" s="304" t="s">
        <v>178</v>
      </c>
      <c r="L161" s="304" t="s">
        <v>208</v>
      </c>
      <c r="M161" s="304" t="s">
        <v>180</v>
      </c>
      <c r="N161" s="325" t="s">
        <v>209</v>
      </c>
      <c r="O161" s="305" t="s">
        <v>181</v>
      </c>
      <c r="P161" s="325"/>
    </row>
    <row r="162" spans="6:13" ht="14.5">
      <c r="F162" s="306" t="s">
        <v>183</v>
      </c>
      <c r="G162" s="307"/>
      <c r="H162" s="308"/>
      <c r="I162" s="308"/>
      <c r="J162" s="308"/>
      <c r="K162" s="309"/>
      <c r="L162" s="310"/>
      <c r="M162" s="310"/>
    </row>
    <row r="163" spans="1:13" ht="14.5">
      <c r="A163" s="143" t="s">
        <v>210</v>
      </c>
      <c r="B163" s="143">
        <v>21.75</v>
      </c>
      <c r="C163" s="143">
        <v>0.67</v>
      </c>
      <c r="F163" s="306" t="s">
        <v>185</v>
      </c>
      <c r="G163" s="307"/>
      <c r="H163" s="308"/>
      <c r="I163" s="308"/>
      <c r="J163" s="308"/>
      <c r="K163" s="309"/>
      <c r="L163" s="310"/>
      <c r="M163" s="310"/>
    </row>
    <row r="164" spans="1:13" ht="14.5">
      <c r="A164" s="143" t="s">
        <v>211</v>
      </c>
      <c r="B164" s="143">
        <v>16.5</v>
      </c>
      <c r="C164" s="143">
        <v>0.6</v>
      </c>
      <c r="F164" s="306" t="s">
        <v>187</v>
      </c>
      <c r="G164" s="307"/>
      <c r="H164" s="308"/>
      <c r="I164" s="308"/>
      <c r="J164" s="308"/>
      <c r="K164" s="309"/>
      <c r="L164" s="310"/>
      <c r="M164" s="310"/>
    </row>
    <row r="165" spans="1:13" ht="14.5">
      <c r="A165" s="143" t="s">
        <v>212</v>
      </c>
      <c r="F165" s="306" t="s">
        <v>188</v>
      </c>
      <c r="G165" s="312"/>
      <c r="H165" s="313"/>
      <c r="I165" s="313"/>
      <c r="J165" s="308"/>
      <c r="K165" s="309"/>
      <c r="L165" s="310"/>
      <c r="M165" s="310"/>
    </row>
    <row r="166" spans="1:13" ht="14.5">
      <c r="A166" s="143" t="s">
        <v>89</v>
      </c>
      <c r="F166" s="306" t="s">
        <v>190</v>
      </c>
      <c r="G166" s="307">
        <v>286</v>
      </c>
      <c r="H166" s="308">
        <v>185</v>
      </c>
      <c r="I166" s="308">
        <v>172</v>
      </c>
      <c r="J166" s="308">
        <v>134</v>
      </c>
      <c r="K166" s="309"/>
      <c r="L166" s="310"/>
      <c r="M166" s="310"/>
    </row>
    <row r="167" spans="6:13" ht="14.5">
      <c r="F167" s="306" t="s">
        <v>191</v>
      </c>
      <c r="G167" s="307">
        <v>158</v>
      </c>
      <c r="H167" s="308">
        <v>71</v>
      </c>
      <c r="I167" s="308">
        <v>69</v>
      </c>
      <c r="J167" s="308">
        <v>72</v>
      </c>
      <c r="K167" s="314"/>
      <c r="L167" s="310"/>
      <c r="M167" s="310"/>
    </row>
    <row r="168" spans="1:16" ht="15">
      <c r="A168" s="143" t="s">
        <v>213</v>
      </c>
      <c r="F168" s="143" t="s">
        <v>214</v>
      </c>
      <c r="G168" s="142">
        <v>80</v>
      </c>
      <c r="H168" s="142">
        <v>80</v>
      </c>
      <c r="I168" s="142">
        <v>127</v>
      </c>
      <c r="J168" s="326">
        <v>102</v>
      </c>
      <c r="K168" s="142">
        <v>150</v>
      </c>
      <c r="L168" s="142"/>
      <c r="N168" s="142">
        <v>160</v>
      </c>
      <c r="O168" s="311">
        <v>209</v>
      </c>
      <c r="P168" s="142">
        <v>80</v>
      </c>
    </row>
    <row r="169" spans="6:16" ht="15">
      <c r="F169" s="143" t="s">
        <v>215</v>
      </c>
      <c r="G169" s="321">
        <f>G166+G167</f>
        <v>444</v>
      </c>
      <c r="H169" s="142">
        <f aca="true" t="shared" si="69" ref="H169:J169">H166+H167</f>
        <v>256</v>
      </c>
      <c r="I169" s="142">
        <f t="shared" si="69"/>
        <v>241</v>
      </c>
      <c r="J169" s="142">
        <f t="shared" si="69"/>
        <v>206</v>
      </c>
      <c r="K169" s="142">
        <v>90</v>
      </c>
      <c r="L169" s="142"/>
      <c r="N169" s="142">
        <v>90</v>
      </c>
      <c r="O169" s="311">
        <v>141</v>
      </c>
      <c r="P169" s="142">
        <v>440</v>
      </c>
    </row>
    <row r="170" spans="1:16" ht="23.4" customHeight="1">
      <c r="A170" s="143" t="s">
        <v>216</v>
      </c>
      <c r="B170" s="143">
        <v>3.625</v>
      </c>
      <c r="C170" s="143">
        <v>0.54</v>
      </c>
      <c r="F170" s="143" t="s">
        <v>104</v>
      </c>
      <c r="G170" s="142">
        <f>SUM(G168:G169)</f>
        <v>524</v>
      </c>
      <c r="H170" s="142">
        <f>SUM(H168:H169)</f>
        <v>336</v>
      </c>
      <c r="I170" s="142">
        <f>SUM(I168:I169)</f>
        <v>368</v>
      </c>
      <c r="J170" s="142">
        <f>SUM(J168:J169)</f>
        <v>308</v>
      </c>
      <c r="K170" s="142">
        <f>SUM(K168:K169)</f>
        <v>240</v>
      </c>
      <c r="L170" s="142">
        <v>250</v>
      </c>
      <c r="M170" s="142">
        <v>492</v>
      </c>
      <c r="N170" s="142">
        <f>SUM(N168:N169)</f>
        <v>250</v>
      </c>
      <c r="O170" s="311">
        <f>SUM(O168:O169)</f>
        <v>350</v>
      </c>
      <c r="P170" s="142">
        <f>SUM(P168:P169)</f>
        <v>520</v>
      </c>
    </row>
    <row r="171" spans="1:15" ht="23.4" customHeight="1">
      <c r="A171" s="143" t="s">
        <v>217</v>
      </c>
      <c r="B171" s="143">
        <v>3.7358490566037736</v>
      </c>
      <c r="C171" s="143">
        <v>0.55</v>
      </c>
      <c r="G171" s="142"/>
      <c r="H171" s="142"/>
      <c r="I171" s="142"/>
      <c r="J171" s="142"/>
      <c r="K171" s="142"/>
      <c r="L171" s="142"/>
      <c r="O171" s="311"/>
    </row>
    <row r="172" spans="7:15" ht="23.4" customHeight="1">
      <c r="G172" s="142"/>
      <c r="H172" s="142"/>
      <c r="I172" s="142"/>
      <c r="J172" s="142"/>
      <c r="K172" s="142"/>
      <c r="L172" s="142"/>
      <c r="O172" s="311"/>
    </row>
    <row r="173" spans="1:15" ht="23.4" customHeight="1">
      <c r="A173" s="143" t="s">
        <v>218</v>
      </c>
      <c r="B173" s="143">
        <v>2020</v>
      </c>
      <c r="C173" s="143" t="s">
        <v>219</v>
      </c>
      <c r="G173" s="142"/>
      <c r="H173" s="142"/>
      <c r="I173" s="142"/>
      <c r="J173" s="142"/>
      <c r="K173" s="142"/>
      <c r="L173" s="142"/>
      <c r="O173" s="311"/>
    </row>
    <row r="174" spans="7:15" ht="23.4" customHeight="1">
      <c r="G174" s="142"/>
      <c r="H174" s="142"/>
      <c r="I174" s="142"/>
      <c r="J174" s="142"/>
      <c r="K174" s="142"/>
      <c r="L174" s="142"/>
      <c r="O174" s="311"/>
    </row>
    <row r="175" spans="1:15" ht="23.4" customHeight="1">
      <c r="A175" s="143" t="s">
        <v>220</v>
      </c>
      <c r="B175" s="143">
        <v>492</v>
      </c>
      <c r="C175" s="143">
        <v>0.46</v>
      </c>
      <c r="G175" s="142"/>
      <c r="H175" s="142"/>
      <c r="I175" s="142"/>
      <c r="J175" s="142"/>
      <c r="K175" s="142"/>
      <c r="L175" s="142"/>
      <c r="O175" s="311"/>
    </row>
    <row r="176" spans="1:15" ht="23.4" customHeight="1">
      <c r="A176" s="143" t="s">
        <v>221</v>
      </c>
      <c r="B176" s="143">
        <v>512.21</v>
      </c>
      <c r="C176" s="143">
        <v>0.31</v>
      </c>
      <c r="G176" s="142"/>
      <c r="H176" s="142"/>
      <c r="I176" s="142"/>
      <c r="J176" s="142"/>
      <c r="K176" s="142"/>
      <c r="L176" s="142"/>
      <c r="O176" s="311"/>
    </row>
    <row r="177" spans="1:15" ht="15">
      <c r="A177" s="143" t="s">
        <v>222</v>
      </c>
      <c r="B177" s="143">
        <v>744</v>
      </c>
      <c r="C177" s="143">
        <v>0.59</v>
      </c>
      <c r="G177" s="142"/>
      <c r="H177" s="142"/>
      <c r="I177" s="142"/>
      <c r="J177" s="142"/>
      <c r="K177" s="142"/>
      <c r="L177" s="142"/>
      <c r="O177" s="311"/>
    </row>
    <row r="178" spans="1:3" ht="15">
      <c r="A178" s="143" t="s">
        <v>223</v>
      </c>
      <c r="B178" s="143">
        <v>300</v>
      </c>
      <c r="C178" s="143">
        <v>0.45</v>
      </c>
    </row>
    <row r="179" spans="1:15" ht="15">
      <c r="A179" s="143" t="s">
        <v>224</v>
      </c>
      <c r="C179" s="143">
        <v>0.47</v>
      </c>
      <c r="O179" s="142">
        <v>2015</v>
      </c>
    </row>
    <row r="180" spans="1:15" ht="15">
      <c r="A180" s="143" t="s">
        <v>225</v>
      </c>
      <c r="O180" s="142">
        <v>201</v>
      </c>
    </row>
    <row r="181" spans="1:15" ht="15">
      <c r="A181" s="143" t="s">
        <v>226</v>
      </c>
      <c r="O181" s="142">
        <v>86</v>
      </c>
    </row>
    <row r="182" spans="13:15" ht="15">
      <c r="M182" s="142">
        <v>312</v>
      </c>
      <c r="O182" s="142">
        <f>SUM(O180:O181)</f>
        <v>287</v>
      </c>
    </row>
    <row r="183" ht="15">
      <c r="A183" s="143" t="s">
        <v>227</v>
      </c>
    </row>
    <row r="184" spans="1:17" ht="15">
      <c r="A184" s="143" t="s">
        <v>228</v>
      </c>
      <c r="F184" s="143">
        <f>24*1.55</f>
        <v>37.2</v>
      </c>
      <c r="M184" s="142">
        <f>M170/M182</f>
        <v>1.5769230769230769</v>
      </c>
      <c r="O184" s="142">
        <f>O170/O182</f>
        <v>1.2195121951219512</v>
      </c>
      <c r="P184" s="142">
        <f>POWER(1.13,6)</f>
        <v>2.0819517526089983</v>
      </c>
      <c r="Q184" s="251">
        <v>0.05</v>
      </c>
    </row>
    <row r="185" ht="15">
      <c r="M185" s="251">
        <v>0.12</v>
      </c>
    </row>
    <row r="186" spans="1:6" ht="15">
      <c r="A186" s="143" t="s">
        <v>229</v>
      </c>
      <c r="F186" s="143">
        <f>27/0.65</f>
        <v>41.53846153846154</v>
      </c>
    </row>
    <row r="187" spans="1:15" ht="15">
      <c r="A187" s="143" t="s">
        <v>230</v>
      </c>
      <c r="F187" s="143">
        <f>F186/F184</f>
        <v>1.1166253101736971</v>
      </c>
      <c r="O187" s="142">
        <v>2025</v>
      </c>
    </row>
    <row r="188" ht="15">
      <c r="O188" s="142">
        <v>115</v>
      </c>
    </row>
    <row r="189" ht="15">
      <c r="O189" s="142">
        <v>360</v>
      </c>
    </row>
    <row r="190" ht="15">
      <c r="O190" s="142">
        <f>SUM(O188:O189)</f>
        <v>475</v>
      </c>
    </row>
    <row r="192" ht="15">
      <c r="O192" s="142">
        <f>O190/O170</f>
        <v>1.3571428571428572</v>
      </c>
    </row>
    <row r="195" spans="1:15" ht="18">
      <c r="A195" s="300" t="s">
        <v>231</v>
      </c>
      <c r="B195" s="300"/>
      <c r="C195" s="300"/>
      <c r="D195" s="300"/>
      <c r="E195" s="300"/>
      <c r="G195" s="143" t="s">
        <v>232</v>
      </c>
      <c r="H195" s="143" t="s">
        <v>209</v>
      </c>
      <c r="I195" s="143" t="s">
        <v>176</v>
      </c>
      <c r="J195" s="143" t="s">
        <v>177</v>
      </c>
      <c r="K195" s="143" t="s">
        <v>208</v>
      </c>
      <c r="L195" s="143" t="s">
        <v>233</v>
      </c>
      <c r="M195" s="143" t="s">
        <v>89</v>
      </c>
      <c r="N195" s="143" t="s">
        <v>234</v>
      </c>
      <c r="O195" s="311" t="s">
        <v>181</v>
      </c>
    </row>
    <row r="196" spans="6:15" ht="44">
      <c r="F196" s="301" t="s">
        <v>207</v>
      </c>
      <c r="G196" s="142">
        <v>420</v>
      </c>
      <c r="H196" s="142">
        <v>200</v>
      </c>
      <c r="I196" s="142">
        <v>208</v>
      </c>
      <c r="J196" s="142">
        <v>288</v>
      </c>
      <c r="K196" s="142">
        <v>230</v>
      </c>
      <c r="L196" s="142">
        <v>306</v>
      </c>
      <c r="M196" s="142">
        <v>230</v>
      </c>
      <c r="O196" s="311">
        <v>420</v>
      </c>
    </row>
    <row r="197" spans="6:15" ht="14.5">
      <c r="F197" s="327" t="s">
        <v>235</v>
      </c>
      <c r="G197" s="142"/>
      <c r="H197" s="142"/>
      <c r="I197" s="142"/>
      <c r="J197" s="142"/>
      <c r="K197" s="142"/>
      <c r="L197" s="142"/>
      <c r="O197" s="311">
        <f>O196/14100</f>
        <v>0.029787234042553193</v>
      </c>
    </row>
    <row r="198" spans="6:15" ht="14.5">
      <c r="F198" s="327" t="s">
        <v>236</v>
      </c>
      <c r="G198" s="142"/>
      <c r="H198" s="142"/>
      <c r="I198" s="142"/>
      <c r="J198" s="142"/>
      <c r="K198" s="142"/>
      <c r="L198" s="142"/>
      <c r="N198" s="142">
        <v>17</v>
      </c>
      <c r="O198" s="311">
        <v>17</v>
      </c>
    </row>
    <row r="199" spans="6:15" ht="14.5">
      <c r="F199" s="327" t="s">
        <v>237</v>
      </c>
      <c r="G199" s="142"/>
      <c r="H199" s="142"/>
      <c r="I199" s="142"/>
      <c r="J199" s="142">
        <v>20</v>
      </c>
      <c r="K199" s="142"/>
      <c r="L199" s="142"/>
      <c r="O199" s="311">
        <v>17</v>
      </c>
    </row>
    <row r="200" spans="6:15" ht="14.5">
      <c r="F200" s="328" t="s">
        <v>238</v>
      </c>
      <c r="G200" s="142">
        <v>10</v>
      </c>
      <c r="H200" s="142">
        <v>0</v>
      </c>
      <c r="I200" s="142">
        <v>13</v>
      </c>
      <c r="J200" s="142">
        <v>4</v>
      </c>
      <c r="K200" s="142"/>
      <c r="L200" s="142">
        <v>7</v>
      </c>
      <c r="M200" s="142">
        <v>0</v>
      </c>
      <c r="N200" s="142">
        <v>2</v>
      </c>
      <c r="O200" s="311"/>
    </row>
    <row r="201" ht="15">
      <c r="O201" s="311"/>
    </row>
    <row r="202" ht="15">
      <c r="O202" s="311"/>
    </row>
    <row r="203" ht="15">
      <c r="O203" s="142">
        <f>429/208</f>
        <v>2.0625</v>
      </c>
    </row>
    <row r="204" ht="14">
      <c r="A204" s="143" t="s">
        <v>239</v>
      </c>
    </row>
    <row r="205" spans="1:25" ht="67.5">
      <c r="A205" s="329" t="s">
        <v>240</v>
      </c>
      <c r="B205" s="329"/>
      <c r="C205" s="329"/>
      <c r="D205" s="329"/>
      <c r="E205" s="329"/>
      <c r="F205" s="330">
        <v>2013</v>
      </c>
      <c r="G205" s="330">
        <v>2014</v>
      </c>
      <c r="H205" s="330">
        <v>2015</v>
      </c>
      <c r="I205" s="331">
        <v>2016</v>
      </c>
      <c r="J205" s="331">
        <v>2017</v>
      </c>
      <c r="K205" s="331">
        <v>2018</v>
      </c>
      <c r="L205" s="331">
        <v>2019</v>
      </c>
      <c r="M205" s="331">
        <v>2020</v>
      </c>
      <c r="N205" s="331">
        <v>2021</v>
      </c>
      <c r="O205" s="331">
        <v>2022</v>
      </c>
      <c r="P205" s="331">
        <v>2023</v>
      </c>
      <c r="Q205" s="331">
        <v>2024</v>
      </c>
      <c r="R205" s="332">
        <v>2025</v>
      </c>
      <c r="S205" s="150"/>
      <c r="T205" s="150"/>
      <c r="U205" s="150"/>
      <c r="V205" s="150"/>
      <c r="W205" s="150"/>
      <c r="Y205" s="150">
        <v>2030</v>
      </c>
    </row>
    <row r="206" spans="1:23" ht="15">
      <c r="A206" s="143" t="s">
        <v>241</v>
      </c>
      <c r="C206" s="143" t="s">
        <v>242</v>
      </c>
      <c r="F206" s="333">
        <v>2700</v>
      </c>
      <c r="G206" s="334">
        <v>3400</v>
      </c>
      <c r="H206" s="334">
        <v>4700</v>
      </c>
      <c r="I206" s="334">
        <v>6800</v>
      </c>
      <c r="J206" s="333">
        <v>9100</v>
      </c>
      <c r="K206" s="334">
        <v>11600</v>
      </c>
      <c r="L206" s="334">
        <v>14100</v>
      </c>
      <c r="M206" s="334">
        <v>17100</v>
      </c>
      <c r="N206" s="334">
        <v>20600</v>
      </c>
      <c r="O206" s="335">
        <f>O207+O208</f>
        <v>25204.1</v>
      </c>
      <c r="P206" s="335">
        <f aca="true" t="shared" si="70" ref="P206:R206">P207+P208</f>
        <v>30984.563000000002</v>
      </c>
      <c r="Q206" s="335">
        <f t="shared" si="70"/>
        <v>38267.66519</v>
      </c>
      <c r="R206" s="335">
        <f t="shared" si="70"/>
        <v>47474.1033647</v>
      </c>
      <c r="S206" s="335"/>
      <c r="T206" s="335"/>
      <c r="U206" s="335"/>
      <c r="V206" s="335"/>
      <c r="W206" s="335"/>
    </row>
    <row r="207" spans="1:23" ht="14.5">
      <c r="A207" s="143" t="s">
        <v>243</v>
      </c>
      <c r="F207" s="208">
        <f aca="true" t="shared" si="71" ref="F207:G207">F209*F206</f>
        <v>698.0325120000001</v>
      </c>
      <c r="G207" s="208">
        <f t="shared" si="71"/>
        <v>1008.032</v>
      </c>
      <c r="H207" s="142">
        <f>H209*H206</f>
        <v>1598.0000000000002</v>
      </c>
      <c r="I207" s="208">
        <f>I209*I206</f>
        <v>2652</v>
      </c>
      <c r="J207" s="208">
        <f aca="true" t="shared" si="72" ref="J207:M207">J209*J206</f>
        <v>3800.9790000000003</v>
      </c>
      <c r="K207" s="208">
        <f>K209*K206</f>
        <v>5189.213484</v>
      </c>
      <c r="L207" s="208">
        <f>L209*L206</f>
        <v>6755.416529588999</v>
      </c>
      <c r="M207" s="208">
        <f t="shared" si="72"/>
        <v>8774.423678336587</v>
      </c>
      <c r="N207" s="208">
        <f>N209*N206</f>
        <v>11330.000000000002</v>
      </c>
      <c r="O207" s="263">
        <f>N207*1.3</f>
        <v>14729.000000000004</v>
      </c>
      <c r="P207" s="263">
        <f aca="true" t="shared" si="73" ref="P207:R207">O207*1.3</f>
        <v>19147.700000000004</v>
      </c>
      <c r="Q207" s="263">
        <f t="shared" si="73"/>
        <v>24892.010000000006</v>
      </c>
      <c r="R207" s="336">
        <f t="shared" si="73"/>
        <v>32359.61300000001</v>
      </c>
      <c r="S207" s="263"/>
      <c r="T207" s="263"/>
      <c r="U207" s="263"/>
      <c r="V207" s="263"/>
      <c r="W207" s="263"/>
    </row>
    <row r="208" spans="1:23" ht="14.5">
      <c r="A208" s="143" t="s">
        <v>244</v>
      </c>
      <c r="F208" s="208">
        <f aca="true" t="shared" si="74" ref="F208:G208">F206-F207</f>
        <v>2001.9674879999998</v>
      </c>
      <c r="G208" s="208">
        <f t="shared" si="74"/>
        <v>2391.968</v>
      </c>
      <c r="H208" s="142">
        <f>H206-H207</f>
        <v>3102</v>
      </c>
      <c r="I208" s="208">
        <f>I206-I207</f>
        <v>4148</v>
      </c>
      <c r="J208" s="208">
        <f aca="true" t="shared" si="75" ref="J208:N208">J206-J207</f>
        <v>5299.021</v>
      </c>
      <c r="K208" s="208">
        <f t="shared" si="75"/>
        <v>6410.786516</v>
      </c>
      <c r="L208" s="208">
        <f>L206-L207</f>
        <v>7344.583470411001</v>
      </c>
      <c r="M208" s="208">
        <f t="shared" si="75"/>
        <v>8325.576321663413</v>
      </c>
      <c r="N208" s="208">
        <f t="shared" si="75"/>
        <v>9269.999999999998</v>
      </c>
      <c r="O208" s="263">
        <f>N208*1.13</f>
        <v>10475.099999999997</v>
      </c>
      <c r="P208" s="263">
        <f aca="true" t="shared" si="76" ref="P208:R208">O208*1.13</f>
        <v>11836.862999999996</v>
      </c>
      <c r="Q208" s="263">
        <f t="shared" si="76"/>
        <v>13375.655189999994</v>
      </c>
      <c r="R208" s="336">
        <f t="shared" si="76"/>
        <v>15114.490364699992</v>
      </c>
      <c r="S208" s="263"/>
      <c r="T208" s="263"/>
      <c r="U208" s="263"/>
      <c r="V208" s="263"/>
      <c r="W208" s="263"/>
    </row>
    <row r="209" spans="1:25" ht="15">
      <c r="A209" s="143" t="s">
        <v>245</v>
      </c>
      <c r="F209" s="337">
        <f>G209*0.872</f>
        <v>0.25853056</v>
      </c>
      <c r="G209" s="337">
        <f>H209*0.872</f>
        <v>0.29648</v>
      </c>
      <c r="H209" s="338">
        <v>0.34</v>
      </c>
      <c r="I209" s="338">
        <v>0.39</v>
      </c>
      <c r="J209" s="337">
        <f>I209*1.071</f>
        <v>0.41769</v>
      </c>
      <c r="K209" s="337">
        <f aca="true" t="shared" si="77" ref="K209:M209">J209*1.071</f>
        <v>0.44734598999999997</v>
      </c>
      <c r="L209" s="337">
        <f>K209*1.071</f>
        <v>0.47910755528999993</v>
      </c>
      <c r="M209" s="337">
        <f t="shared" si="77"/>
        <v>0.5131241917155899</v>
      </c>
      <c r="N209" s="337">
        <v>0.55</v>
      </c>
      <c r="O209" s="339">
        <f>O207/O206</f>
        <v>0.5843890478136495</v>
      </c>
      <c r="P209" s="339">
        <f>P207/P206</f>
        <v>0.6179754737867371</v>
      </c>
      <c r="Q209" s="339">
        <f>Q207/Q206</f>
        <v>0.6504710929295137</v>
      </c>
      <c r="R209" s="339">
        <f>R207/R206</f>
        <v>0.6816266281305152</v>
      </c>
      <c r="S209" s="339"/>
      <c r="T209" s="339"/>
      <c r="U209" s="339"/>
      <c r="V209" s="339"/>
      <c r="W209" s="339"/>
      <c r="Y209" s="339">
        <f>POWER(1.04,5)*R209</f>
        <v>0.829303015468117</v>
      </c>
    </row>
    <row r="210" spans="1:12" ht="15">
      <c r="A210" s="143" t="s">
        <v>246</v>
      </c>
      <c r="F210" s="142"/>
      <c r="G210" s="142"/>
      <c r="H210" s="142"/>
      <c r="I210" s="142"/>
      <c r="J210" s="142"/>
      <c r="K210" s="142"/>
      <c r="L210" s="142"/>
    </row>
    <row r="211" spans="1:14" ht="15">
      <c r="A211" s="143" t="s">
        <v>247</v>
      </c>
      <c r="F211" s="340">
        <f>F212/F207</f>
        <v>0.027453119465315312</v>
      </c>
      <c r="G211" s="340">
        <f aca="true" t="shared" si="78" ref="G211:J211">G212/G207</f>
        <v>0.02359200293123551</v>
      </c>
      <c r="H211" s="340">
        <f t="shared" si="78"/>
        <v>0.018468606963945543</v>
      </c>
      <c r="I211" s="340">
        <f t="shared" si="78"/>
        <v>0.013810492799821179</v>
      </c>
      <c r="J211" s="340">
        <f t="shared" si="78"/>
        <v>0.011958012603926798</v>
      </c>
      <c r="K211" s="340">
        <f>K212/K207</f>
        <v>0.010869879273109706</v>
      </c>
      <c r="L211" s="340">
        <f>L212/L207</f>
        <v>0.010362055351198132</v>
      </c>
      <c r="M211" s="340"/>
      <c r="N211" s="340"/>
    </row>
    <row r="212" spans="1:12" ht="15">
      <c r="A212" s="143" t="s">
        <v>248</v>
      </c>
      <c r="F212" s="208">
        <f aca="true" t="shared" si="79" ref="F212:J212">G212/1.241</f>
        <v>19.163169942610146</v>
      </c>
      <c r="G212" s="208">
        <f t="shared" si="79"/>
        <v>23.781493898779193</v>
      </c>
      <c r="H212" s="208">
        <f t="shared" si="79"/>
        <v>29.512833928384982</v>
      </c>
      <c r="I212" s="208">
        <f>J212/1.241</f>
        <v>36.625426905125764</v>
      </c>
      <c r="J212" s="208">
        <f t="shared" si="79"/>
        <v>45.45215478926108</v>
      </c>
      <c r="K212" s="208">
        <f>L212/1.241</f>
        <v>56.406124093473004</v>
      </c>
      <c r="L212" s="208">
        <v>70</v>
      </c>
    </row>
    <row r="213" spans="1:12" ht="15">
      <c r="A213" s="143" t="s">
        <v>249</v>
      </c>
      <c r="F213" s="208"/>
      <c r="G213" s="208"/>
      <c r="H213" s="208"/>
      <c r="I213" s="208"/>
      <c r="J213" s="208"/>
      <c r="K213" s="208"/>
      <c r="L213" s="208"/>
    </row>
    <row r="214" spans="1:14" ht="15">
      <c r="A214" s="143" t="s">
        <v>250</v>
      </c>
      <c r="F214" s="340">
        <f aca="true" t="shared" si="80" ref="F214:K214">F215/F208</f>
        <v>0.11780252749908288</v>
      </c>
      <c r="G214" s="340">
        <f t="shared" si="80"/>
        <v>0.10293553513308741</v>
      </c>
      <c r="H214" s="340">
        <f t="shared" si="80"/>
        <v>0.08300682336286752</v>
      </c>
      <c r="I214" s="340">
        <f t="shared" si="80"/>
        <v>0.06711055281940073</v>
      </c>
      <c r="J214" s="340">
        <f t="shared" si="80"/>
        <v>0.05747247372877724</v>
      </c>
      <c r="K214" s="340">
        <f t="shared" si="80"/>
        <v>0.05125640591625138</v>
      </c>
      <c r="L214" s="340">
        <f>L215/L208</f>
        <v>0.04765416601363972</v>
      </c>
      <c r="N214" s="340"/>
    </row>
    <row r="215" spans="1:12" ht="15">
      <c r="A215" s="143" t="s">
        <v>251</v>
      </c>
      <c r="F215" s="341">
        <f>F225-F212</f>
        <v>235.83683005738985</v>
      </c>
      <c r="G215" s="208">
        <f aca="true" t="shared" si="81" ref="G215:K215">G225-G212</f>
        <v>246.2185061012208</v>
      </c>
      <c r="H215" s="208">
        <f t="shared" si="81"/>
        <v>257.48716607161504</v>
      </c>
      <c r="I215" s="208">
        <f t="shared" si="81"/>
        <v>278.3745730948742</v>
      </c>
      <c r="J215" s="208">
        <f t="shared" si="81"/>
        <v>304.5478452107389</v>
      </c>
      <c r="K215" s="208">
        <f t="shared" si="81"/>
        <v>328.593875906527</v>
      </c>
      <c r="L215" s="208">
        <f>L225-L212</f>
        <v>350</v>
      </c>
    </row>
    <row r="216" spans="6:12" ht="15">
      <c r="F216" s="142"/>
      <c r="G216" s="142"/>
      <c r="H216" s="142"/>
      <c r="I216" s="142"/>
      <c r="J216" s="142"/>
      <c r="K216" s="142"/>
      <c r="L216" s="142"/>
    </row>
    <row r="217" spans="6:12" ht="15">
      <c r="F217" s="142"/>
      <c r="G217" s="142"/>
      <c r="H217" s="142"/>
      <c r="I217" s="142"/>
      <c r="J217" s="142"/>
      <c r="K217" s="142"/>
      <c r="L217" s="142"/>
    </row>
    <row r="218" spans="6:12" ht="15">
      <c r="F218" s="142"/>
      <c r="G218" s="142"/>
      <c r="H218" s="142"/>
      <c r="I218" s="142"/>
      <c r="J218" s="142"/>
      <c r="K218" s="142"/>
      <c r="L218" s="142"/>
    </row>
    <row r="220" ht="12.75"/>
    <row r="221" ht="12.75"/>
    <row r="222" ht="12.75"/>
    <row r="223" spans="6:13" ht="15">
      <c r="F223" s="331">
        <v>2013</v>
      </c>
      <c r="G223" s="331">
        <v>2014</v>
      </c>
      <c r="H223" s="331">
        <v>2015</v>
      </c>
      <c r="I223" s="331">
        <v>2016</v>
      </c>
      <c r="J223" s="331">
        <v>2017</v>
      </c>
      <c r="K223" s="331">
        <v>2018</v>
      </c>
      <c r="L223" s="331">
        <v>2019</v>
      </c>
      <c r="M223" s="142" t="s">
        <v>252</v>
      </c>
    </row>
    <row r="224" ht="12.75"/>
    <row r="225" spans="1:14" ht="12.75">
      <c r="A225" s="143" t="s">
        <v>253</v>
      </c>
      <c r="F225" s="142">
        <v>255</v>
      </c>
      <c r="G225" s="142">
        <v>270</v>
      </c>
      <c r="H225" s="142">
        <v>287</v>
      </c>
      <c r="I225" s="142">
        <v>315</v>
      </c>
      <c r="J225" s="142">
        <v>350</v>
      </c>
      <c r="K225" s="142">
        <v>385</v>
      </c>
      <c r="L225" s="142">
        <v>420</v>
      </c>
      <c r="M225" s="251">
        <v>0.09</v>
      </c>
      <c r="N225" s="142">
        <f>POWER(1.09,5)</f>
        <v>1.5386239549000005</v>
      </c>
    </row>
    <row r="226" spans="1:12" ht="12.75">
      <c r="A226" s="143" t="s">
        <v>254</v>
      </c>
      <c r="F226" s="321">
        <f aca="true" t="shared" si="82" ref="F226:L226">F225/F136</f>
        <v>0.09444444444444444</v>
      </c>
      <c r="G226" s="321">
        <f t="shared" si="82"/>
        <v>0.07941176470588235</v>
      </c>
      <c r="H226" s="321">
        <f t="shared" si="82"/>
        <v>0.06106382978723404</v>
      </c>
      <c r="I226" s="321">
        <f t="shared" si="82"/>
        <v>0.04632352941176471</v>
      </c>
      <c r="J226" s="321">
        <f t="shared" si="82"/>
        <v>0.038461538461538464</v>
      </c>
      <c r="K226" s="321">
        <f t="shared" si="82"/>
        <v>0.03318965517241379</v>
      </c>
      <c r="L226" s="321">
        <f t="shared" si="82"/>
        <v>0.029787234042553193</v>
      </c>
    </row>
    <row r="227" spans="1:12" ht="12.75">
      <c r="A227" s="143" t="s">
        <v>255</v>
      </c>
      <c r="F227" s="142"/>
      <c r="G227" s="142">
        <f>G226/F226</f>
        <v>0.8408304498269896</v>
      </c>
      <c r="H227" s="142">
        <f aca="true" t="shared" si="83" ref="H227:L227">H226/G226</f>
        <v>0.7689519306540583</v>
      </c>
      <c r="I227" s="142">
        <f t="shared" si="83"/>
        <v>0.7586083213773315</v>
      </c>
      <c r="J227" s="142">
        <f>J226/I226</f>
        <v>0.8302808302808303</v>
      </c>
      <c r="K227" s="142">
        <f t="shared" si="83"/>
        <v>0.8629310344827585</v>
      </c>
      <c r="L227" s="142">
        <f t="shared" si="83"/>
        <v>0.8974854932301742</v>
      </c>
    </row>
    <row r="228" spans="1:12" ht="12.75">
      <c r="A228" s="143" t="s">
        <v>256</v>
      </c>
      <c r="F228" s="142"/>
      <c r="G228" s="142"/>
      <c r="H228" s="142"/>
      <c r="I228" s="142"/>
      <c r="J228" s="142"/>
      <c r="K228" s="142"/>
      <c r="L228" s="142">
        <f>L226/H226</f>
        <v>0.48780487804878053</v>
      </c>
    </row>
    <row r="229" ht="12.75">
      <c r="A229" s="143">
        <f>POWER(0.83,4)</f>
        <v>0.4745832099999999</v>
      </c>
    </row>
    <row r="230" ht="12.75"/>
    <row r="231" ht="12.75"/>
    <row r="232" ht="12.75"/>
    <row r="233" ht="12.75"/>
    <row r="234" ht="12.75"/>
    <row r="235" spans="1:9" ht="12.75">
      <c r="A235" s="143" t="s">
        <v>257</v>
      </c>
      <c r="F235" s="143">
        <v>2018</v>
      </c>
      <c r="G235" s="143">
        <v>2019</v>
      </c>
      <c r="H235" s="143">
        <v>2023</v>
      </c>
      <c r="I235" s="143" t="s">
        <v>258</v>
      </c>
    </row>
    <row r="236" spans="6:10" ht="12.75">
      <c r="F236" s="142">
        <v>161</v>
      </c>
      <c r="G236" s="142">
        <v>178</v>
      </c>
      <c r="H236" s="142">
        <v>267</v>
      </c>
      <c r="I236" s="342">
        <v>0.105</v>
      </c>
      <c r="J236" s="143">
        <f>POWER(1.07,5)</f>
        <v>1.4025517307000002</v>
      </c>
    </row>
    <row r="237" ht="12.75"/>
    <row r="238" ht="12.75"/>
    <row r="239" spans="1:9" ht="12.75">
      <c r="A239" s="143" t="s">
        <v>259</v>
      </c>
      <c r="F239" s="208">
        <v>78</v>
      </c>
      <c r="G239" s="208">
        <f>1.05*F239</f>
        <v>81.9</v>
      </c>
      <c r="H239" s="208">
        <f>1.05*1.05*1.05*1.05*G239</f>
        <v>99.54996187500002</v>
      </c>
      <c r="I239" s="251">
        <v>0.05</v>
      </c>
    </row>
    <row r="240" spans="6:15" ht="12.75">
      <c r="F240" s="341"/>
      <c r="G240" s="341"/>
      <c r="H240" s="341"/>
      <c r="O240" s="142" t="s">
        <v>260</v>
      </c>
    </row>
    <row r="241" spans="1:9" ht="12.75">
      <c r="A241" s="143" t="s">
        <v>261</v>
      </c>
      <c r="F241" s="208">
        <v>73</v>
      </c>
      <c r="G241" s="208">
        <v>73</v>
      </c>
      <c r="H241" s="208">
        <v>73</v>
      </c>
      <c r="I241" s="251">
        <v>0</v>
      </c>
    </row>
    <row r="242" spans="6:9" ht="12.75">
      <c r="F242" s="208"/>
      <c r="G242" s="208"/>
      <c r="H242" s="208"/>
      <c r="I242" s="142"/>
    </row>
    <row r="243" spans="1:9" ht="12.75">
      <c r="A243" s="143" t="s">
        <v>262</v>
      </c>
      <c r="F243" s="343">
        <f>G243/1.08</f>
        <v>74.07407407407408</v>
      </c>
      <c r="G243" s="344">
        <v>80</v>
      </c>
      <c r="H243" s="343">
        <f>1.08*1.08*1.08*1.08*G243</f>
        <v>108.83911680000003</v>
      </c>
      <c r="I243" s="345">
        <v>0.08</v>
      </c>
    </row>
    <row r="244" spans="6:9" ht="12.75">
      <c r="F244" s="208"/>
      <c r="G244" s="208"/>
      <c r="H244" s="208"/>
      <c r="I244" s="142"/>
    </row>
    <row r="245" spans="1:9" ht="12.75">
      <c r="A245" s="143" t="s">
        <v>104</v>
      </c>
      <c r="F245" s="208">
        <f>F236+F239+F241+F243</f>
        <v>386.0740740740741</v>
      </c>
      <c r="G245" s="208">
        <f>G236+G239+G241+G243</f>
        <v>412.9</v>
      </c>
      <c r="H245" s="208">
        <f>H236+H239+H241+H243</f>
        <v>548.3890786750001</v>
      </c>
      <c r="I245" s="346">
        <v>0.075</v>
      </c>
    </row>
    <row r="246" spans="6:9" ht="12.75">
      <c r="F246" s="142"/>
      <c r="G246" s="142"/>
      <c r="H246" s="142"/>
      <c r="I246" s="142"/>
    </row>
    <row r="247" spans="6:9" ht="12.75">
      <c r="F247" s="142"/>
      <c r="G247" s="142"/>
      <c r="H247" s="142"/>
      <c r="I247" s="142"/>
    </row>
    <row r="248" ht="12.75"/>
    <row r="249" ht="12.75"/>
    <row r="250" ht="12.75"/>
    <row r="251" spans="1:6" ht="63.75">
      <c r="A251" s="347" t="s">
        <v>263</v>
      </c>
      <c r="B251" s="347"/>
      <c r="C251" s="347"/>
      <c r="D251" s="347"/>
      <c r="E251" s="347"/>
      <c r="F251" s="143">
        <f>252*0.5*365*24</f>
        <v>1103760</v>
      </c>
    </row>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3" spans="1:5" ht="17.5">
      <c r="A273" s="300" t="s">
        <v>264</v>
      </c>
      <c r="B273" s="300"/>
      <c r="C273" s="300"/>
      <c r="D273" s="300"/>
      <c r="E273" s="300"/>
    </row>
    <row r="274" ht="14">
      <c r="J274" s="143" t="s">
        <v>234</v>
      </c>
    </row>
    <row r="275" spans="1:10" ht="14.5">
      <c r="A275" s="348" t="s">
        <v>74</v>
      </c>
      <c r="B275" s="157"/>
      <c r="C275" s="157"/>
      <c r="D275" s="157"/>
      <c r="E275" s="157"/>
      <c r="J275" s="349" t="s">
        <v>30</v>
      </c>
    </row>
    <row r="276" spans="1:10" ht="14.5">
      <c r="A276" s="348" t="s">
        <v>76</v>
      </c>
      <c r="B276" s="157"/>
      <c r="C276" s="157"/>
      <c r="D276" s="157"/>
      <c r="E276" s="157"/>
      <c r="J276" s="350" t="s">
        <v>265</v>
      </c>
    </row>
    <row r="277" spans="1:10" ht="14.5">
      <c r="A277" s="348" t="s">
        <v>78</v>
      </c>
      <c r="B277" s="157"/>
      <c r="C277" s="157"/>
      <c r="D277" s="157"/>
      <c r="E277" s="157"/>
      <c r="J277" s="350" t="s">
        <v>266</v>
      </c>
    </row>
    <row r="278" spans="1:10" ht="14.5">
      <c r="A278" s="348" t="s">
        <v>30</v>
      </c>
      <c r="B278" s="157"/>
      <c r="C278" s="157"/>
      <c r="D278" s="157"/>
      <c r="E278" s="157"/>
      <c r="J278" s="350" t="s">
        <v>267</v>
      </c>
    </row>
    <row r="279" spans="1:10" ht="14.5">
      <c r="A279" s="348" t="s">
        <v>84</v>
      </c>
      <c r="B279" s="157"/>
      <c r="C279" s="157"/>
      <c r="D279" s="157"/>
      <c r="E279" s="157"/>
      <c r="J279" s="350" t="s">
        <v>268</v>
      </c>
    </row>
    <row r="280" spans="1:10" ht="14.5">
      <c r="A280" s="348" t="s">
        <v>86</v>
      </c>
      <c r="B280" s="157"/>
      <c r="C280" s="157"/>
      <c r="D280" s="157"/>
      <c r="E280" s="157"/>
      <c r="J280" s="350" t="s">
        <v>90</v>
      </c>
    </row>
    <row r="281" spans="1:10" ht="14.5">
      <c r="A281" s="351" t="s">
        <v>269</v>
      </c>
      <c r="B281" s="352"/>
      <c r="C281" s="352"/>
      <c r="D281" s="352"/>
      <c r="E281" s="352"/>
      <c r="J281" s="350" t="s">
        <v>270</v>
      </c>
    </row>
    <row r="282" spans="1:10" ht="14.5">
      <c r="A282" s="348" t="s">
        <v>88</v>
      </c>
      <c r="B282" s="157"/>
      <c r="C282" s="157"/>
      <c r="D282" s="157"/>
      <c r="E282" s="157"/>
      <c r="J282" s="350" t="s">
        <v>271</v>
      </c>
    </row>
    <row r="283" spans="1:10" ht="14.5">
      <c r="A283" s="348" t="s">
        <v>90</v>
      </c>
      <c r="B283" s="157"/>
      <c r="C283" s="157"/>
      <c r="D283" s="157"/>
      <c r="E283" s="157"/>
      <c r="J283" s="350" t="s">
        <v>272</v>
      </c>
    </row>
    <row r="284" spans="1:10" ht="14.5">
      <c r="A284" s="353" t="s">
        <v>273</v>
      </c>
      <c r="B284" s="354"/>
      <c r="C284" s="354"/>
      <c r="D284" s="354"/>
      <c r="E284" s="354"/>
      <c r="J284" s="350" t="s">
        <v>274</v>
      </c>
    </row>
    <row r="285" spans="1:10" ht="14.5">
      <c r="A285" s="353" t="s">
        <v>275</v>
      </c>
      <c r="B285" s="354"/>
      <c r="C285" s="354"/>
      <c r="D285" s="354"/>
      <c r="E285" s="354"/>
      <c r="J285" s="355" t="s">
        <v>276</v>
      </c>
    </row>
    <row r="286" spans="1:10" ht="14.5">
      <c r="A286" s="353" t="s">
        <v>277</v>
      </c>
      <c r="B286" s="354"/>
      <c r="C286" s="354"/>
      <c r="D286" s="354"/>
      <c r="E286" s="354"/>
      <c r="J286" s="350" t="s">
        <v>278</v>
      </c>
    </row>
    <row r="287" spans="1:10" ht="15">
      <c r="A287" s="356" t="s">
        <v>279</v>
      </c>
      <c r="B287" s="354"/>
      <c r="C287" s="354"/>
      <c r="D287" s="354"/>
      <c r="E287" s="354"/>
      <c r="J287" s="350" t="s">
        <v>280</v>
      </c>
    </row>
    <row r="288" spans="1:10" ht="94.5">
      <c r="A288" s="143" t="s">
        <v>94</v>
      </c>
      <c r="J288" s="357" t="s">
        <v>281</v>
      </c>
    </row>
    <row r="289" spans="1:10" ht="27">
      <c r="A289" s="143" t="s">
        <v>282</v>
      </c>
      <c r="J289" s="357" t="s">
        <v>283</v>
      </c>
    </row>
    <row r="290" ht="15">
      <c r="A290" s="143" t="s">
        <v>284</v>
      </c>
    </row>
    <row r="291" ht="15">
      <c r="A291" s="143" t="s">
        <v>33</v>
      </c>
    </row>
    <row r="292" ht="15">
      <c r="A292" s="143" t="s">
        <v>5</v>
      </c>
    </row>
    <row r="293" spans="1:10" ht="15">
      <c r="A293" s="143" t="s">
        <v>285</v>
      </c>
      <c r="J293" s="142"/>
    </row>
    <row r="294" ht="15">
      <c r="A294" s="143" t="s">
        <v>79</v>
      </c>
    </row>
    <row r="296" ht="15">
      <c r="A296" s="143" t="s">
        <v>286</v>
      </c>
    </row>
    <row r="298" ht="15">
      <c r="A298" s="143" t="s">
        <v>74</v>
      </c>
    </row>
    <row r="299" ht="15">
      <c r="A299" s="143" t="s">
        <v>76</v>
      </c>
    </row>
    <row r="300" spans="1:11" ht="15">
      <c r="A300" s="143" t="s">
        <v>78</v>
      </c>
      <c r="K300" s="143" t="s">
        <v>287</v>
      </c>
    </row>
    <row r="301" ht="12.75">
      <c r="A301" s="143" t="s">
        <v>79</v>
      </c>
    </row>
    <row r="302" ht="12.75">
      <c r="A302" s="143" t="s">
        <v>288</v>
      </c>
    </row>
    <row r="303" ht="12.75">
      <c r="A303" s="143" t="s">
        <v>30</v>
      </c>
    </row>
    <row r="304" ht="12.75">
      <c r="A304" s="143" t="s">
        <v>84</v>
      </c>
    </row>
    <row r="305" ht="12.75">
      <c r="A305" s="143" t="s">
        <v>86</v>
      </c>
    </row>
    <row r="306" ht="12.75">
      <c r="A306" s="143" t="s">
        <v>88</v>
      </c>
    </row>
    <row r="307" ht="12.75">
      <c r="A307" s="143" t="s">
        <v>90</v>
      </c>
    </row>
    <row r="308" ht="12.75">
      <c r="A308" s="143" t="s">
        <v>273</v>
      </c>
    </row>
    <row r="309" ht="12.75">
      <c r="A309" s="143" t="s">
        <v>94</v>
      </c>
    </row>
    <row r="310" ht="12.75">
      <c r="A310" s="143" t="s">
        <v>277</v>
      </c>
    </row>
    <row r="311" ht="12.75">
      <c r="A311" s="143" t="s">
        <v>5</v>
      </c>
    </row>
    <row r="312" ht="12.75">
      <c r="A312" s="143" t="s">
        <v>33</v>
      </c>
    </row>
    <row r="313" ht="12.75">
      <c r="A313" s="143" t="s">
        <v>285</v>
      </c>
    </row>
    <row r="314" ht="12.75"/>
    <row r="315" ht="12.75"/>
    <row r="316" ht="12.75"/>
    <row r="317" ht="12.75">
      <c r="A317" s="143" t="s">
        <v>289</v>
      </c>
    </row>
    <row r="318" ht="12.75"/>
    <row r="319" ht="12.75"/>
    <row r="320" ht="12.75"/>
    <row r="321" ht="12.75"/>
    <row r="322" ht="12.75"/>
    <row r="323" ht="12.75"/>
    <row r="324" ht="12.75">
      <c r="A324" s="142"/>
    </row>
    <row r="325" ht="12.75"/>
    <row r="326" ht="12.75"/>
    <row r="327" ht="12.75"/>
    <row r="328" ht="12.75"/>
    <row r="329" ht="12.75"/>
    <row r="330" ht="12.75"/>
    <row r="331" ht="12.75">
      <c r="I331" s="142"/>
    </row>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5" spans="8:15" ht="15">
      <c r="H365" s="143" t="s">
        <v>290</v>
      </c>
      <c r="I365" s="143">
        <f>0.3*15</f>
        <v>4.5</v>
      </c>
      <c r="J365" s="143">
        <f>0.34*16.3</f>
        <v>5.542000000000001</v>
      </c>
      <c r="L365" s="143">
        <v>6.1</v>
      </c>
      <c r="M365" s="142" t="s">
        <v>291</v>
      </c>
      <c r="N365" s="142">
        <v>10.6</v>
      </c>
      <c r="O365" s="142" t="s">
        <v>292</v>
      </c>
    </row>
    <row r="368" spans="2:6" ht="15">
      <c r="B368" s="143" t="s">
        <v>293</v>
      </c>
      <c r="C368" s="143" t="s">
        <v>294</v>
      </c>
      <c r="F368" s="143" t="s">
        <v>295</v>
      </c>
    </row>
    <row r="369" spans="1:7" ht="15">
      <c r="A369" s="143">
        <v>2019</v>
      </c>
      <c r="B369" s="143">
        <v>584</v>
      </c>
      <c r="C369" s="143">
        <f>1000*B369/3.6</f>
        <v>162222.22222222222</v>
      </c>
      <c r="F369" s="143">
        <v>34.169</v>
      </c>
      <c r="G369" s="143">
        <f>F369*1000/C369</f>
        <v>0.21063082191780821</v>
      </c>
    </row>
    <row r="373" ht="15">
      <c r="A373" s="143" t="s">
        <v>296</v>
      </c>
    </row>
    <row r="375" spans="1:13" ht="15">
      <c r="A375" s="143">
        <v>2019</v>
      </c>
      <c r="B375" s="143" t="s">
        <v>297</v>
      </c>
      <c r="C375" s="143" t="s">
        <v>298</v>
      </c>
      <c r="F375" s="143" t="s">
        <v>299</v>
      </c>
      <c r="G375" s="143" t="s">
        <v>300</v>
      </c>
      <c r="H375" s="143" t="s">
        <v>301</v>
      </c>
      <c r="I375" s="143" t="s">
        <v>302</v>
      </c>
      <c r="J375" s="143" t="s">
        <v>303</v>
      </c>
      <c r="K375" s="143" t="s">
        <v>304</v>
      </c>
      <c r="L375" s="143" t="s">
        <v>305</v>
      </c>
      <c r="M375" s="143" t="s">
        <v>306</v>
      </c>
    </row>
    <row r="376" spans="1:13" ht="14.5">
      <c r="A376" s="348" t="s">
        <v>74</v>
      </c>
      <c r="B376" s="341">
        <v>639.4000000000001</v>
      </c>
      <c r="C376" s="341">
        <f aca="true" t="shared" si="84" ref="C376:C392">0.6*B376</f>
        <v>383.64000000000004</v>
      </c>
      <c r="D376" s="341"/>
      <c r="E376" s="341"/>
      <c r="F376" s="341">
        <v>700</v>
      </c>
      <c r="G376" s="341"/>
      <c r="H376" s="341"/>
      <c r="I376" s="341">
        <v>95</v>
      </c>
      <c r="J376" s="341">
        <v>300</v>
      </c>
      <c r="K376" s="338">
        <f aca="true" t="shared" si="85" ref="K376:K381">I376/L376</f>
        <v>0.16272696128811234</v>
      </c>
      <c r="L376" s="143">
        <f>0.278*6*350</f>
        <v>583.8000000000001</v>
      </c>
      <c r="M376" s="142" t="s">
        <v>121</v>
      </c>
    </row>
    <row r="377" spans="1:13" ht="14.5">
      <c r="A377" s="348" t="s">
        <v>76</v>
      </c>
      <c r="B377" s="341">
        <v>417.00000000000006</v>
      </c>
      <c r="C377" s="341">
        <f t="shared" si="84"/>
        <v>250.20000000000002</v>
      </c>
      <c r="D377" s="341"/>
      <c r="E377" s="341"/>
      <c r="F377" s="341">
        <v>490</v>
      </c>
      <c r="G377" s="341"/>
      <c r="H377" s="341"/>
      <c r="I377" s="341">
        <v>225</v>
      </c>
      <c r="J377" s="341">
        <v>250</v>
      </c>
      <c r="K377" s="338">
        <f t="shared" si="85"/>
        <v>0.6225788599889319</v>
      </c>
      <c r="L377" s="143">
        <f>0.278*200*6.5</f>
        <v>361.40000000000003</v>
      </c>
      <c r="M377" s="142" t="s">
        <v>122</v>
      </c>
    </row>
    <row r="378" spans="1:13" ht="14.5">
      <c r="A378" s="348" t="s">
        <v>78</v>
      </c>
      <c r="B378" s="341">
        <v>973.0000000000001</v>
      </c>
      <c r="C378" s="341">
        <f t="shared" si="84"/>
        <v>583.8000000000001</v>
      </c>
      <c r="D378" s="341"/>
      <c r="E378" s="341"/>
      <c r="F378" s="341">
        <v>300</v>
      </c>
      <c r="G378" s="341"/>
      <c r="H378" s="341"/>
      <c r="I378" s="341">
        <v>160</v>
      </c>
      <c r="J378" s="341">
        <v>335</v>
      </c>
      <c r="K378" s="338">
        <f t="shared" si="85"/>
        <v>0.35971223021582727</v>
      </c>
      <c r="L378" s="143">
        <f>0.278*1600</f>
        <v>444.80000000000007</v>
      </c>
      <c r="M378" s="142" t="s">
        <v>307</v>
      </c>
    </row>
    <row r="379" spans="1:13" ht="14.5">
      <c r="A379" s="348" t="s">
        <v>79</v>
      </c>
      <c r="B379" s="341">
        <v>806.2</v>
      </c>
      <c r="C379" s="341">
        <f t="shared" si="84"/>
        <v>483.72</v>
      </c>
      <c r="D379" s="341"/>
      <c r="E379" s="341"/>
      <c r="F379" s="341"/>
      <c r="G379" s="341"/>
      <c r="H379" s="341"/>
      <c r="I379" s="341">
        <v>120</v>
      </c>
      <c r="J379" s="341">
        <v>145</v>
      </c>
      <c r="K379" s="338"/>
      <c r="M379" s="142" t="s">
        <v>116</v>
      </c>
    </row>
    <row r="380" spans="1:13" ht="14.5">
      <c r="A380" s="348" t="s">
        <v>81</v>
      </c>
      <c r="B380" s="341">
        <v>287.73</v>
      </c>
      <c r="C380" s="341">
        <f t="shared" si="84"/>
        <v>172.638</v>
      </c>
      <c r="D380" s="341"/>
      <c r="E380" s="341"/>
      <c r="F380" s="341"/>
      <c r="G380" s="341"/>
      <c r="H380" s="341"/>
      <c r="I380" s="341">
        <v>70</v>
      </c>
      <c r="J380" s="341">
        <v>145</v>
      </c>
      <c r="K380" s="338"/>
      <c r="M380" s="142" t="s">
        <v>116</v>
      </c>
    </row>
    <row r="381" spans="1:13" ht="14.5">
      <c r="A381" s="348" t="s">
        <v>30</v>
      </c>
      <c r="B381" s="341">
        <v>159.46080000000003</v>
      </c>
      <c r="C381" s="341">
        <f t="shared" si="84"/>
        <v>95.67648000000001</v>
      </c>
      <c r="D381" s="341"/>
      <c r="E381" s="341"/>
      <c r="F381" s="341">
        <v>60</v>
      </c>
      <c r="G381" s="341" t="s">
        <v>308</v>
      </c>
      <c r="H381" s="341" t="s">
        <v>309</v>
      </c>
      <c r="I381" s="341">
        <v>35</v>
      </c>
      <c r="J381" s="341">
        <v>60</v>
      </c>
      <c r="K381" s="338">
        <f t="shared" si="85"/>
        <v>0.31474820143884885</v>
      </c>
      <c r="L381" s="143">
        <f>400*0.278</f>
        <v>111.20000000000002</v>
      </c>
      <c r="M381" s="142" t="s">
        <v>123</v>
      </c>
    </row>
    <row r="382" spans="1:13" ht="14.5">
      <c r="A382" s="348" t="s">
        <v>84</v>
      </c>
      <c r="B382" s="341">
        <v>221.84400000000005</v>
      </c>
      <c r="C382" s="341">
        <f t="shared" si="84"/>
        <v>133.10640000000004</v>
      </c>
      <c r="D382" s="341"/>
      <c r="E382" s="341"/>
      <c r="F382" s="341" t="s">
        <v>310</v>
      </c>
      <c r="G382" s="341"/>
      <c r="H382" s="341" t="s">
        <v>311</v>
      </c>
      <c r="I382" s="341">
        <v>60</v>
      </c>
      <c r="J382" s="341">
        <v>63</v>
      </c>
      <c r="K382" s="338"/>
      <c r="M382" s="142" t="s">
        <v>116</v>
      </c>
    </row>
    <row r="383" spans="1:13" ht="14.5">
      <c r="A383" s="348" t="s">
        <v>86</v>
      </c>
      <c r="B383" s="341">
        <v>30</v>
      </c>
      <c r="C383" s="341">
        <f t="shared" si="84"/>
        <v>18</v>
      </c>
      <c r="D383" s="341"/>
      <c r="E383" s="341"/>
      <c r="F383" s="341"/>
      <c r="G383" s="341"/>
      <c r="H383" s="341"/>
      <c r="I383" s="341">
        <v>16</v>
      </c>
      <c r="J383" s="341"/>
      <c r="K383" s="338"/>
      <c r="M383" s="142" t="s">
        <v>97</v>
      </c>
    </row>
    <row r="384" spans="1:13" ht="14.5">
      <c r="A384" s="348" t="s">
        <v>88</v>
      </c>
      <c r="B384" s="341">
        <v>5</v>
      </c>
      <c r="C384" s="341">
        <f t="shared" si="84"/>
        <v>3</v>
      </c>
      <c r="D384" s="341"/>
      <c r="E384" s="341"/>
      <c r="F384" s="341"/>
      <c r="G384" s="341"/>
      <c r="H384" s="341"/>
      <c r="I384" s="341"/>
      <c r="J384" s="341"/>
      <c r="K384" s="338"/>
      <c r="M384" s="142" t="s">
        <v>97</v>
      </c>
    </row>
    <row r="385" spans="1:13" ht="14.5">
      <c r="A385" s="348" t="s">
        <v>90</v>
      </c>
      <c r="B385" s="341">
        <v>695.0000000000001</v>
      </c>
      <c r="C385" s="341">
        <f t="shared" si="84"/>
        <v>417.00000000000006</v>
      </c>
      <c r="D385" s="341"/>
      <c r="E385" s="341"/>
      <c r="F385" s="341"/>
      <c r="G385" s="341"/>
      <c r="H385" s="341"/>
      <c r="I385" s="341">
        <v>460</v>
      </c>
      <c r="J385" s="341">
        <v>420</v>
      </c>
      <c r="K385" s="338"/>
      <c r="M385" s="142" t="s">
        <v>312</v>
      </c>
    </row>
    <row r="386" spans="1:13" ht="14.5">
      <c r="A386" s="348" t="s">
        <v>92</v>
      </c>
      <c r="B386" s="341">
        <v>255.76000000000002</v>
      </c>
      <c r="C386" s="341">
        <f t="shared" si="84"/>
        <v>153.45600000000002</v>
      </c>
      <c r="D386" s="341"/>
      <c r="E386" s="341"/>
      <c r="F386" s="341"/>
      <c r="G386" s="341"/>
      <c r="H386" s="341"/>
      <c r="I386" s="341">
        <v>60</v>
      </c>
      <c r="J386" s="341"/>
      <c r="K386" s="338"/>
      <c r="M386" s="142" t="s">
        <v>111</v>
      </c>
    </row>
    <row r="387" spans="1:13" ht="14.5">
      <c r="A387" s="348" t="s">
        <v>94</v>
      </c>
      <c r="B387" s="341">
        <v>333.6</v>
      </c>
      <c r="C387" s="341">
        <f t="shared" si="84"/>
        <v>200.16</v>
      </c>
      <c r="D387" s="341"/>
      <c r="E387" s="341"/>
      <c r="F387" s="341"/>
      <c r="G387" s="341"/>
      <c r="H387" s="341"/>
      <c r="I387" s="341">
        <v>70</v>
      </c>
      <c r="J387" s="341">
        <v>74</v>
      </c>
      <c r="K387" s="338"/>
      <c r="M387" s="142" t="s">
        <v>111</v>
      </c>
    </row>
    <row r="388" spans="1:13" ht="14.5">
      <c r="A388" s="348" t="s">
        <v>96</v>
      </c>
      <c r="B388" s="341">
        <v>200</v>
      </c>
      <c r="C388" s="341">
        <f t="shared" si="84"/>
        <v>120</v>
      </c>
      <c r="D388" s="341"/>
      <c r="E388" s="341"/>
      <c r="F388" s="341"/>
      <c r="G388" s="341"/>
      <c r="H388" s="341"/>
      <c r="I388" s="341">
        <v>120</v>
      </c>
      <c r="J388" s="341"/>
      <c r="K388" s="338"/>
      <c r="M388" s="142" t="s">
        <v>97</v>
      </c>
    </row>
    <row r="389" spans="1:13" ht="14.5">
      <c r="A389" s="157" t="s">
        <v>5</v>
      </c>
      <c r="B389" s="341">
        <v>70.05600000000001</v>
      </c>
      <c r="C389" s="341">
        <f t="shared" si="84"/>
        <v>42.03360000000001</v>
      </c>
      <c r="D389" s="341"/>
      <c r="E389" s="341"/>
      <c r="F389" s="341"/>
      <c r="G389" s="341"/>
      <c r="H389" s="341"/>
      <c r="I389" s="341"/>
      <c r="J389" s="341"/>
      <c r="K389" s="338"/>
      <c r="M389" s="142" t="s">
        <v>124</v>
      </c>
    </row>
    <row r="390" spans="1:13" ht="14.5">
      <c r="A390" s="157" t="s">
        <v>33</v>
      </c>
      <c r="B390" s="341">
        <v>150</v>
      </c>
      <c r="C390" s="341">
        <f t="shared" si="84"/>
        <v>90</v>
      </c>
      <c r="D390" s="341"/>
      <c r="E390" s="341"/>
      <c r="F390" s="341">
        <v>60</v>
      </c>
      <c r="G390" s="341">
        <v>28</v>
      </c>
      <c r="H390" s="341"/>
      <c r="I390" s="341"/>
      <c r="J390" s="341">
        <v>86</v>
      </c>
      <c r="K390" s="338"/>
      <c r="M390" s="142" t="s">
        <v>97</v>
      </c>
    </row>
    <row r="391" spans="1:13" ht="14.5">
      <c r="A391" s="157" t="s">
        <v>101</v>
      </c>
      <c r="B391" s="341">
        <v>1200</v>
      </c>
      <c r="C391" s="341">
        <f t="shared" si="84"/>
        <v>720</v>
      </c>
      <c r="D391" s="341"/>
      <c r="E391" s="341"/>
      <c r="F391" s="341"/>
      <c r="G391" s="341"/>
      <c r="H391" s="341"/>
      <c r="I391" s="341"/>
      <c r="J391" s="341">
        <v>800</v>
      </c>
      <c r="K391" s="338"/>
      <c r="M391" s="142" t="s">
        <v>125</v>
      </c>
    </row>
    <row r="392" spans="1:13" ht="14.5">
      <c r="A392" s="157" t="s">
        <v>16</v>
      </c>
      <c r="B392" s="341">
        <v>50</v>
      </c>
      <c r="C392" s="341">
        <f t="shared" si="84"/>
        <v>30</v>
      </c>
      <c r="D392" s="341"/>
      <c r="E392" s="341"/>
      <c r="F392" s="341"/>
      <c r="G392" s="341">
        <v>46</v>
      </c>
      <c r="H392" s="341"/>
      <c r="I392" s="341"/>
      <c r="J392" s="341"/>
      <c r="K392" s="341"/>
      <c r="M392" s="142" t="s">
        <v>97</v>
      </c>
    </row>
    <row r="395" spans="2:8" ht="15">
      <c r="B395" s="143" t="s">
        <v>313</v>
      </c>
      <c r="C395" s="143" t="s">
        <v>314</v>
      </c>
      <c r="F395" s="143" t="s">
        <v>315</v>
      </c>
      <c r="G395" s="143" t="s">
        <v>316</v>
      </c>
      <c r="H395" s="143" t="s">
        <v>317</v>
      </c>
    </row>
    <row r="396" spans="1:7" ht="15">
      <c r="A396" s="143" t="s">
        <v>318</v>
      </c>
      <c r="B396" s="143">
        <v>158.79</v>
      </c>
      <c r="C396" s="143">
        <v>191.45</v>
      </c>
      <c r="F396" s="143">
        <v>138.66</v>
      </c>
      <c r="G396" s="143">
        <v>576.23</v>
      </c>
    </row>
    <row r="397" spans="1:7" ht="15">
      <c r="A397" s="143" t="s">
        <v>319</v>
      </c>
      <c r="B397" s="143">
        <v>14.5</v>
      </c>
      <c r="C397" s="143">
        <v>12.4</v>
      </c>
      <c r="F397" s="143">
        <v>7.5</v>
      </c>
      <c r="G397" s="143">
        <v>34.08</v>
      </c>
    </row>
    <row r="398" spans="1:8" ht="15">
      <c r="A398" s="143" t="s">
        <v>320</v>
      </c>
      <c r="B398" s="322">
        <f>B397/(0.278*B396)</f>
        <v>0.3284732878726303</v>
      </c>
      <c r="C398" s="322">
        <f>C397/(0.278*C396)</f>
        <v>0.2329815437281932</v>
      </c>
      <c r="D398" s="322"/>
      <c r="E398" s="322"/>
      <c r="F398" s="322">
        <f>F397/(0.278*F396)</f>
        <v>0.19456524784499532</v>
      </c>
      <c r="G398" s="322">
        <f>G397/(0.278*G396)</f>
        <v>0.21274478603605146</v>
      </c>
      <c r="H398" s="143">
        <f>G398*0.278</f>
        <v>0.05914305051802231</v>
      </c>
    </row>
    <row r="403" ht="15">
      <c r="A403" s="143" t="s">
        <v>321</v>
      </c>
    </row>
    <row r="405" ht="15">
      <c r="A405" s="143" t="s">
        <v>322</v>
      </c>
    </row>
    <row r="416" ht="15">
      <c r="C416" s="143">
        <f>1.37*1.37</f>
        <v>1.8769000000000002</v>
      </c>
    </row>
    <row r="428" ht="15">
      <c r="A428" s="143" t="s">
        <v>323</v>
      </c>
    </row>
    <row r="431" spans="3:5" ht="12.75">
      <c r="C431" s="142"/>
      <c r="D431" s="142"/>
      <c r="E431" s="142"/>
    </row>
    <row r="433" ht="12.75"/>
    <row r="434" ht="12.75"/>
    <row r="435" ht="12.75"/>
    <row r="436" ht="12.75"/>
    <row r="437" ht="12.75"/>
    <row r="438" ht="12.75"/>
    <row r="439" ht="12.75"/>
    <row r="440" ht="12.75"/>
    <row r="441" ht="12.75"/>
    <row r="442" ht="12.75"/>
    <row r="443" ht="12.75"/>
    <row r="444" ht="12.75"/>
    <row r="445" ht="12.75"/>
    <row r="446" ht="12.75"/>
    <row r="447" ht="12.75"/>
    <row r="456" ht="12.75"/>
    <row r="457" ht="12.75"/>
    <row r="458" ht="12.75"/>
    <row r="459" ht="12.75"/>
    <row r="460" ht="12.75"/>
    <row r="461" ht="12.75"/>
    <row r="462" ht="12.75"/>
    <row r="463" ht="12.75"/>
    <row r="464" ht="12.75"/>
    <row r="465" ht="12.75"/>
    <row r="466" ht="12.75"/>
    <row r="467" ht="12.75"/>
    <row r="468"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sheetData>
  <mergeCells count="4">
    <mergeCell ref="A2:F3"/>
    <mergeCell ref="X48:AA48"/>
    <mergeCell ref="X68:AA68"/>
    <mergeCell ref="X75:AA75"/>
  </mergeCells>
  <conditionalFormatting sqref="Y130 Y134 X140">
    <cfRule type="expression" priority="15" dxfId="0">
      <formula>MOD(ROW(),2)</formula>
    </cfRule>
  </conditionalFormatting>
  <conditionalFormatting sqref="F206:N206">
    <cfRule type="expression" priority="14" dxfId="0">
      <formula>MOD(ROW(),2)</formula>
    </cfRule>
  </conditionalFormatting>
  <conditionalFormatting sqref="O207:W208">
    <cfRule type="expression" priority="13" dxfId="0">
      <formula>MOD(ROW(),2)</formula>
    </cfRule>
  </conditionalFormatting>
  <conditionalFormatting sqref="F8:W19">
    <cfRule type="expression" priority="9" dxfId="0">
      <formula>MOD(ROW(),2)</formula>
    </cfRule>
  </conditionalFormatting>
  <conditionalFormatting sqref="F140:W144">
    <cfRule type="expression" priority="8" dxfId="0">
      <formula>MOD(ROW(),2)</formula>
    </cfRule>
  </conditionalFormatting>
  <conditionalFormatting sqref="F105:W122">
    <cfRule type="expression" priority="6" dxfId="0">
      <formula>MOD(ROW(),2)</formula>
    </cfRule>
  </conditionalFormatting>
  <conditionalFormatting sqref="F85:W102">
    <cfRule type="expression" priority="5" dxfId="0">
      <formula>MOD(ROW(),2)</formula>
    </cfRule>
  </conditionalFormatting>
  <conditionalFormatting sqref="F66:W82">
    <cfRule type="expression" priority="4" dxfId="0">
      <formula>MOD(ROW(),2)</formula>
    </cfRule>
  </conditionalFormatting>
  <conditionalFormatting sqref="F46:W62">
    <cfRule type="expression" priority="3" dxfId="0">
      <formula>MOD(ROW(),2)</formula>
    </cfRule>
  </conditionalFormatting>
  <conditionalFormatting sqref="F25:W42">
    <cfRule type="expression" priority="2" dxfId="0">
      <formula>MOD(ROW(),2)</formula>
    </cfRule>
  </conditionalFormatting>
  <conditionalFormatting sqref="F129:W136">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15">
            <xm:f>MOD(ROW(),2)</xm:f>
            <x14:dxf>
              <fill>
                <patternFill patternType="solid">
                  <fgColor theme="5" tint="0.5999600291252136"/>
                  <bgColor theme="5" tint="0.5999600291252136"/>
                </patternFill>
              </fill>
              <border/>
            </x14:dxf>
          </x14:cfRule>
          <xm:sqref>Y130 Y134 X140</xm:sqref>
        </x14:conditionalFormatting>
        <x14:conditionalFormatting xmlns:xm="http://schemas.microsoft.com/office/excel/2006/main">
          <x14:cfRule type="expression" priority="14">
            <xm:f>MOD(ROW(),2)</xm:f>
            <x14:dxf>
              <fill>
                <patternFill patternType="solid">
                  <fgColor theme="5" tint="0.5999600291252136"/>
                  <bgColor theme="5" tint="0.5999600291252136"/>
                </patternFill>
              </fill>
            </x14:dxf>
          </x14:cfRule>
          <xm:sqref>F206:N206</xm:sqref>
        </x14:conditionalFormatting>
        <x14:conditionalFormatting xmlns:xm="http://schemas.microsoft.com/office/excel/2006/main">
          <x14:cfRule type="expression" priority="13">
            <xm:f>MOD(ROW(),2)</xm:f>
            <x14:dxf>
              <fill>
                <patternFill patternType="solid">
                  <fgColor theme="5" tint="0.5999600291252136"/>
                  <bgColor theme="5" tint="0.5999600291252136"/>
                </patternFill>
              </fill>
            </x14:dxf>
          </x14:cfRule>
          <xm:sqref>O207:W208</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F8:W19</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F140:W144</xm:sqref>
        </x14:conditionalFormatting>
        <x14:conditionalFormatting xmlns:xm="http://schemas.microsoft.com/office/excel/2006/main">
          <x14:cfRule type="expression" priority="6">
            <xm:f>MOD(ROW(),2)</xm:f>
            <x14:dxf>
              <fill>
                <patternFill patternType="solid">
                  <fgColor theme="5" tint="0.5999600291252136"/>
                  <bgColor theme="5" tint="0.5999600291252136"/>
                </patternFill>
              </fill>
            </x14:dxf>
          </x14:cfRule>
          <xm:sqref>F105:W122</xm:sqref>
        </x14:conditionalFormatting>
        <x14:conditionalFormatting xmlns:xm="http://schemas.microsoft.com/office/excel/2006/main">
          <x14:cfRule type="expression" priority="5">
            <xm:f>MOD(ROW(),2)</xm:f>
            <x14:dxf>
              <fill>
                <patternFill patternType="solid">
                  <fgColor theme="5" tint="0.5999600291252136"/>
                  <bgColor theme="5" tint="0.5999600291252136"/>
                </patternFill>
              </fill>
            </x14:dxf>
          </x14:cfRule>
          <xm:sqref>F85:W102</xm:sqref>
        </x14:conditionalFormatting>
        <x14:conditionalFormatting xmlns:xm="http://schemas.microsoft.com/office/excel/2006/main">
          <x14:cfRule type="expression" priority="4">
            <xm:f>MOD(ROW(),2)</xm:f>
            <x14:dxf>
              <fill>
                <patternFill patternType="solid">
                  <fgColor theme="5" tint="0.5999600291252136"/>
                  <bgColor theme="5" tint="0.5999600291252136"/>
                </patternFill>
              </fill>
            </x14:dxf>
          </x14:cfRule>
          <xm:sqref>F66:W82</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F46:W62</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F25:W42</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F129:W136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X120"/>
  <sheetViews>
    <sheetView zoomScale="60" zoomScaleNormal="60" workbookViewId="0" topLeftCell="A98">
      <selection activeCell="B105" sqref="B105"/>
    </sheetView>
  </sheetViews>
  <sheetFormatPr defaultColWidth="12.140625" defaultRowHeight="15"/>
  <cols>
    <col min="1" max="1" width="50.57421875" style="142" customWidth="1"/>
    <col min="2" max="2" width="9.57421875" style="142" customWidth="1"/>
    <col min="3" max="7" width="8.57421875" style="142" customWidth="1"/>
    <col min="8" max="8" width="8.57421875" style="311" customWidth="1"/>
    <col min="9" max="19" width="8.57421875" style="142" customWidth="1"/>
    <col min="20" max="20" width="12.421875" style="142" customWidth="1"/>
    <col min="21" max="21" width="13.57421875" style="142" customWidth="1"/>
    <col min="22" max="23" width="14.421875" style="142" customWidth="1"/>
    <col min="24" max="24" width="12.57421875" style="142" customWidth="1"/>
    <col min="25" max="25" width="32.7109375" style="142" customWidth="1"/>
    <col min="26" max="16384" width="12.140625" style="142" customWidth="1"/>
  </cols>
  <sheetData>
    <row r="2" spans="1:2" ht="14.5">
      <c r="A2" s="153" t="s">
        <v>1</v>
      </c>
      <c r="B2" s="358"/>
    </row>
    <row r="3" spans="1:2" ht="15">
      <c r="A3" s="359"/>
      <c r="B3" s="358"/>
    </row>
    <row r="4" ht="11.4" customHeight="1"/>
    <row r="5" spans="1:19" ht="32.4" customHeight="1">
      <c r="A5" s="153" t="s">
        <v>324</v>
      </c>
      <c r="B5" s="152">
        <v>2013</v>
      </c>
      <c r="C5" s="152">
        <v>2014</v>
      </c>
      <c r="D5" s="152">
        <v>2015</v>
      </c>
      <c r="E5" s="152">
        <v>2016</v>
      </c>
      <c r="F5" s="152">
        <v>2017</v>
      </c>
      <c r="G5" s="152">
        <v>2018</v>
      </c>
      <c r="H5" s="360">
        <v>2019</v>
      </c>
      <c r="I5" s="152">
        <v>2020</v>
      </c>
      <c r="J5" s="152">
        <v>2021</v>
      </c>
      <c r="K5" s="152">
        <v>2022</v>
      </c>
      <c r="L5" s="152">
        <v>2023</v>
      </c>
      <c r="M5" s="153">
        <v>2024</v>
      </c>
      <c r="N5" s="154">
        <v>2025</v>
      </c>
      <c r="O5" s="271">
        <v>2026</v>
      </c>
      <c r="P5" s="271">
        <v>2027</v>
      </c>
      <c r="Q5" s="271">
        <v>2028</v>
      </c>
      <c r="R5" s="271">
        <v>2029</v>
      </c>
      <c r="S5" s="270">
        <v>2030</v>
      </c>
    </row>
    <row r="6" spans="1:19" ht="15" customHeight="1">
      <c r="A6" s="361" t="s">
        <v>74</v>
      </c>
      <c r="B6" s="163">
        <f>'DATA Conservative'!F46*'DATA Conservative'!F25/1000</f>
        <v>56.48422509586182</v>
      </c>
      <c r="C6" s="163">
        <f>'DATA Conservative'!G46*'DATA Conservative'!G25/1000</f>
        <v>53.095171590110105</v>
      </c>
      <c r="D6" s="163">
        <f>'DATA Conservative'!H46*'DATA Conservative'!H25/1000</f>
        <v>49.90946129470349</v>
      </c>
      <c r="E6" s="163">
        <f>'DATA Conservative'!I46*'DATA Conservative'!I25/1000</f>
        <v>46.914893617021285</v>
      </c>
      <c r="F6" s="163">
        <f>'DATA Conservative'!J46*'DATA Conservative'!J25/1000</f>
        <v>44.1</v>
      </c>
      <c r="G6" s="163">
        <f>'DATA Conservative'!K46*'DATA Conservative'!K25/1000</f>
        <v>42.9975</v>
      </c>
      <c r="H6" s="163">
        <f>'DATA Conservative'!L46*'DATA Conservative'!L25/1000</f>
        <v>41.9225625</v>
      </c>
      <c r="I6" s="163">
        <f>'DATA Conservative'!M46*'DATA Conservative'!M25/1000</f>
        <v>40.6732701375</v>
      </c>
      <c r="J6" s="163">
        <f>'DATA Conservative'!N46*'DATA Conservative'!N25/1000</f>
        <v>39.461206687402495</v>
      </c>
      <c r="K6" s="163">
        <f>'DATA Conservative'!O46*'DATA Conservative'!O25/1000</f>
        <v>38.2852627281179</v>
      </c>
      <c r="L6" s="163">
        <f>'DATA Conservative'!P46*'DATA Conservative'!P25/1000</f>
        <v>37.14436189881998</v>
      </c>
      <c r="M6" s="162">
        <f>'DATA Conservative'!Q46*'DATA Conservative'!Q25/1000</f>
        <v>36.03745991423514</v>
      </c>
      <c r="N6" s="164">
        <f>'DATA Conservative'!R46*'DATA Conservative'!R25/1000</f>
        <v>34.963543608790935</v>
      </c>
      <c r="O6" s="162">
        <f>'DATA Conservative'!S46*'DATA Conservative'!S25/1000</f>
        <v>33.921630009248965</v>
      </c>
      <c r="P6" s="163">
        <f>'DATA Conservative'!T46*'DATA Conservative'!T25/1000</f>
        <v>32.91076543497334</v>
      </c>
      <c r="Q6" s="163">
        <f>'DATA Conservative'!U46*'DATA Conservative'!U25/1000</f>
        <v>31.930024625011136</v>
      </c>
      <c r="R6" s="163">
        <f>'DATA Conservative'!V46*'DATA Conservative'!V25/1000</f>
        <v>30.9785098911858</v>
      </c>
      <c r="S6" s="164">
        <f>'DATA Conservative'!W46*'DATA Conservative'!W25/1000</f>
        <v>30.055350296428465</v>
      </c>
    </row>
    <row r="7" spans="1:19" ht="15" customHeight="1">
      <c r="A7" s="362" t="s">
        <v>76</v>
      </c>
      <c r="B7" s="160">
        <f>'DATA Conservative'!F47*'DATA Conservative'!F26/1000</f>
        <v>43.18433118593268</v>
      </c>
      <c r="C7" s="160">
        <f>'DATA Conservative'!G47*'DATA Conservative'!G26/1000</f>
        <v>44.01347034470258</v>
      </c>
      <c r="D7" s="160">
        <f>'DATA Conservative'!H47*'DATA Conservative'!H26/1000</f>
        <v>44.85852897532088</v>
      </c>
      <c r="E7" s="160">
        <f>'DATA Conservative'!I47*'DATA Conservative'!I26/1000</f>
        <v>45.71981273164704</v>
      </c>
      <c r="F7" s="160">
        <f>'DATA Conservative'!J47*'DATA Conservative'!J26/1000</f>
        <v>46.59763313609467</v>
      </c>
      <c r="G7" s="160">
        <f>'DATA Conservative'!K47*'DATA Conservative'!K26/1000</f>
        <v>48.46153846153845</v>
      </c>
      <c r="H7" s="160">
        <f>'DATA Conservative'!L47*'DATA Conservative'!L26/1000</f>
        <v>50.4</v>
      </c>
      <c r="I7" s="160">
        <f>'DATA Conservative'!M47*'DATA Conservative'!M26/1000</f>
        <v>52.416</v>
      </c>
      <c r="J7" s="160">
        <f>'DATA Conservative'!N47*'DATA Conservative'!N26/1000</f>
        <v>54.512640000000005</v>
      </c>
      <c r="K7" s="160">
        <f>'DATA Conservative'!O47*'DATA Conservative'!O26/1000</f>
        <v>56.6931456</v>
      </c>
      <c r="L7" s="160">
        <f>'DATA Conservative'!P47*'DATA Conservative'!P26/1000</f>
        <v>58.960871424000004</v>
      </c>
      <c r="M7" s="159">
        <f>'DATA Conservative'!Q47*'DATA Conservative'!Q26/1000</f>
        <v>61.31930628096001</v>
      </c>
      <c r="N7" s="161">
        <f>'DATA Conservative'!R47*'DATA Conservative'!R26/1000</f>
        <v>63.772078532198414</v>
      </c>
      <c r="O7" s="159">
        <f>'DATA Conservative'!S47*'DATA Conservative'!S26/1000</f>
        <v>66.32296167348635</v>
      </c>
      <c r="P7" s="160">
        <f>'DATA Conservative'!T47*'DATA Conservative'!T26/1000</f>
        <v>68.97588014042582</v>
      </c>
      <c r="Q7" s="160">
        <f>'DATA Conservative'!U47*'DATA Conservative'!U26/1000</f>
        <v>71.73491534604284</v>
      </c>
      <c r="R7" s="160">
        <f>'DATA Conservative'!V47*'DATA Conservative'!V26/1000</f>
        <v>74.60431195988455</v>
      </c>
      <c r="S7" s="161">
        <f>'DATA Conservative'!W47*'DATA Conservative'!W26/1000</f>
        <v>77.58848443827993</v>
      </c>
    </row>
    <row r="8" spans="1:19" ht="15" customHeight="1">
      <c r="A8" s="362" t="s">
        <v>325</v>
      </c>
      <c r="B8" s="160">
        <f>'DATA Conservative'!F48*'DATA Conservative'!F27/1000</f>
        <v>70.2539428507593</v>
      </c>
      <c r="C8" s="160">
        <f>'DATA Conservative'!G48*'DATA Conservative'!G27/1000</f>
        <v>68.84886399374412</v>
      </c>
      <c r="D8" s="160">
        <f>'DATA Conservative'!H48*'DATA Conservative'!H27/1000</f>
        <v>67.47188671386922</v>
      </c>
      <c r="E8" s="160">
        <f>'DATA Conservative'!I48*'DATA Conservative'!I27/1000</f>
        <v>66.12244897959185</v>
      </c>
      <c r="F8" s="160">
        <f>'DATA Conservative'!J48*'DATA Conservative'!J27/1000</f>
        <v>64.8</v>
      </c>
      <c r="G8" s="160">
        <f>'DATA Conservative'!K48*'DATA Conservative'!K27/1000</f>
        <v>64.8</v>
      </c>
      <c r="H8" s="160">
        <f>'DATA Conservative'!L48*'DATA Conservative'!L27/1000</f>
        <v>64.8</v>
      </c>
      <c r="I8" s="160">
        <f>'DATA Conservative'!M48*'DATA Conservative'!M27/1000</f>
        <v>64.152</v>
      </c>
      <c r="J8" s="160">
        <f>'DATA Conservative'!N48*'DATA Conservative'!N27/1000</f>
        <v>63.51048</v>
      </c>
      <c r="K8" s="160">
        <f>'DATA Conservative'!O48*'DATA Conservative'!O27/1000</f>
        <v>62.87537519999999</v>
      </c>
      <c r="L8" s="160">
        <f>'DATA Conservative'!P48*'DATA Conservative'!P27/1000</f>
        <v>62.246621448</v>
      </c>
      <c r="M8" s="159">
        <f>'DATA Conservative'!Q48*'DATA Conservative'!Q27/1000</f>
        <v>61.62415523351999</v>
      </c>
      <c r="N8" s="161">
        <f>'DATA Conservative'!R48*'DATA Conservative'!R27/1000</f>
        <v>61.0079136811848</v>
      </c>
      <c r="O8" s="159">
        <f>'DATA Conservative'!S48*'DATA Conservative'!S27/1000</f>
        <v>60.39783454437295</v>
      </c>
      <c r="P8" s="160">
        <f>'DATA Conservative'!T48*'DATA Conservative'!T27/1000</f>
        <v>59.79385619892922</v>
      </c>
      <c r="Q8" s="160">
        <f>'DATA Conservative'!U48*'DATA Conservative'!U27/1000</f>
        <v>59.19591763693993</v>
      </c>
      <c r="R8" s="160">
        <f>'DATA Conservative'!V48*'DATA Conservative'!V27/1000</f>
        <v>58.60395846057053</v>
      </c>
      <c r="S8" s="161">
        <f>'DATA Conservative'!W48*'DATA Conservative'!W27/1000</f>
        <v>58.017918875964824</v>
      </c>
    </row>
    <row r="9" spans="1:19" ht="15" customHeight="1">
      <c r="A9" s="362" t="s">
        <v>79</v>
      </c>
      <c r="B9" s="160">
        <f>'DATA Conservative'!F49*'DATA Conservative'!F28/1000</f>
        <v>20.86732748137551</v>
      </c>
      <c r="C9" s="160">
        <f>'DATA Conservative'!G49*'DATA Conservative'!G28/1000</f>
        <v>21.28467403100302</v>
      </c>
      <c r="D9" s="160">
        <f>'DATA Conservative'!H49*'DATA Conservative'!H28/1000</f>
        <v>21.710367511623083</v>
      </c>
      <c r="E9" s="160">
        <f>'DATA Conservative'!I49*'DATA Conservative'!I28/1000</f>
        <v>22.14457486185555</v>
      </c>
      <c r="F9" s="160">
        <f>'DATA Conservative'!J49*'DATA Conservative'!J28/1000</f>
        <v>22.58746635909266</v>
      </c>
      <c r="G9" s="160">
        <f>'DATA Conservative'!K49*'DATA Conservative'!K28/1000</f>
        <v>23.03921568627451</v>
      </c>
      <c r="H9" s="160">
        <f>'DATA Conservative'!L49*'DATA Conservative'!L28/1000</f>
        <v>23.5</v>
      </c>
      <c r="I9" s="160">
        <f>'DATA Conservative'!M49*'DATA Conservative'!M28/1000</f>
        <v>23.735</v>
      </c>
      <c r="J9" s="160">
        <f>'DATA Conservative'!N49*'DATA Conservative'!N28/1000</f>
        <v>23.972350000000002</v>
      </c>
      <c r="K9" s="160">
        <f>'DATA Conservative'!O49*'DATA Conservative'!O28/1000</f>
        <v>24.2120735</v>
      </c>
      <c r="L9" s="160">
        <f>'DATA Conservative'!P49*'DATA Conservative'!P28/1000</f>
        <v>24.454194235</v>
      </c>
      <c r="M9" s="159">
        <f>'DATA Conservative'!Q49*'DATA Conservative'!Q28/1000</f>
        <v>24.698736177349996</v>
      </c>
      <c r="N9" s="161">
        <f>'DATA Conservative'!R49*'DATA Conservative'!R28/1000</f>
        <v>24.9457235391235</v>
      </c>
      <c r="O9" s="159">
        <f>'DATA Conservative'!S49*'DATA Conservative'!S28/1000</f>
        <v>25.195180774514732</v>
      </c>
      <c r="P9" s="160">
        <f>'DATA Conservative'!T49*'DATA Conservative'!T28/1000</f>
        <v>25.447132582259876</v>
      </c>
      <c r="Q9" s="160">
        <f>'DATA Conservative'!U49*'DATA Conservative'!U28/1000</f>
        <v>25.70160390808248</v>
      </c>
      <c r="R9" s="160">
        <f>'DATA Conservative'!V49*'DATA Conservative'!V28/1000</f>
        <v>25.958619947163303</v>
      </c>
      <c r="S9" s="161">
        <f>'DATA Conservative'!W49*'DATA Conservative'!W28/1000</f>
        <v>26.218206146634937</v>
      </c>
    </row>
    <row r="10" spans="1:19" ht="15" customHeight="1">
      <c r="A10" s="362" t="s">
        <v>81</v>
      </c>
      <c r="B10" s="160">
        <f>'DATA Conservative'!F50*'DATA Conservative'!F29/1000</f>
        <v>16.82656110682686</v>
      </c>
      <c r="C10" s="160">
        <f>'DATA Conservative'!G50*'DATA Conservative'!G29/1000</f>
        <v>17.657793225504108</v>
      </c>
      <c r="D10" s="160">
        <f>'DATA Conservative'!H50*'DATA Conservative'!H29/1000</f>
        <v>18.530088210844013</v>
      </c>
      <c r="E10" s="160">
        <f>'DATA Conservative'!I50*'DATA Conservative'!I29/1000</f>
        <v>19.44547456845971</v>
      </c>
      <c r="F10" s="160">
        <f>'DATA Conservative'!J50*'DATA Conservative'!J29/1000</f>
        <v>20.40608101214162</v>
      </c>
      <c r="G10" s="160">
        <f>'DATA Conservative'!K50*'DATA Conservative'!K29/1000</f>
        <v>21.313131313131315</v>
      </c>
      <c r="H10" s="160">
        <f>'DATA Conservative'!L50*'DATA Conservative'!L29/1000</f>
        <v>22.1</v>
      </c>
      <c r="I10" s="160">
        <f>'DATA Conservative'!M50*'DATA Conservative'!M29/1000</f>
        <v>22.09116</v>
      </c>
      <c r="J10" s="160">
        <f>'DATA Conservative'!N50*'DATA Conservative'!N29/1000</f>
        <v>22.082323536</v>
      </c>
      <c r="K10" s="160">
        <f>'DATA Conservative'!O50*'DATA Conservative'!O29/1000</f>
        <v>22.073490606585597</v>
      </c>
      <c r="L10" s="160">
        <f>'DATA Conservative'!P50*'DATA Conservative'!P29/1000</f>
        <v>22.064661210342965</v>
      </c>
      <c r="M10" s="159">
        <f>'DATA Conservative'!Q50*'DATA Conservative'!Q29/1000</f>
        <v>22.055835345858828</v>
      </c>
      <c r="N10" s="161">
        <f>'DATA Conservative'!R50*'DATA Conservative'!R29/1000</f>
        <v>22.047013011720487</v>
      </c>
      <c r="O10" s="159">
        <f>'DATA Conservative'!S50*'DATA Conservative'!S29/1000</f>
        <v>22.0381942065158</v>
      </c>
      <c r="P10" s="160">
        <f>'DATA Conservative'!T50*'DATA Conservative'!T29/1000</f>
        <v>22.029378928833193</v>
      </c>
      <c r="Q10" s="160">
        <f>'DATA Conservative'!U50*'DATA Conservative'!U29/1000</f>
        <v>22.020567177261658</v>
      </c>
      <c r="R10" s="160">
        <f>'DATA Conservative'!V50*'DATA Conservative'!V29/1000</f>
        <v>22.011758950390753</v>
      </c>
      <c r="S10" s="161">
        <f>'DATA Conservative'!W50*'DATA Conservative'!W29/1000</f>
        <v>22.002954246810596</v>
      </c>
    </row>
    <row r="11" spans="1:19" ht="15" customHeight="1">
      <c r="A11" s="362" t="s">
        <v>326</v>
      </c>
      <c r="B11" s="160">
        <f>'DATA Conservative'!F51*'DATA Conservative'!F30/1000</f>
        <v>53.624755952641785</v>
      </c>
      <c r="C11" s="160">
        <f>'DATA Conservative'!G51*'DATA Conservative'!G30/1000</f>
        <v>63.11633775625939</v>
      </c>
      <c r="D11" s="160">
        <f>'DATA Conservative'!H51*'DATA Conservative'!H30/1000</f>
        <v>74.28792953911729</v>
      </c>
      <c r="E11" s="160">
        <f>'DATA Conservative'!I51*'DATA Conservative'!I30/1000</f>
        <v>87.43689306754108</v>
      </c>
      <c r="F11" s="160">
        <f>'DATA Conservative'!J51*'DATA Conservative'!J30/1000</f>
        <v>102.91322314049586</v>
      </c>
      <c r="G11" s="160">
        <f>'DATA Conservative'!K51*'DATA Conservative'!K30/1000</f>
        <v>108.41363636363636</v>
      </c>
      <c r="H11" s="160">
        <f>'DATA Conservative'!L51*'DATA Conservative'!L30/1000</f>
        <v>116.535</v>
      </c>
      <c r="I11" s="160">
        <f>'DATA Conservative'!M51*'DATA Conservative'!M30/1000</f>
        <v>115.311</v>
      </c>
      <c r="J11" s="160">
        <f>'DATA Conservative'!N51*'DATA Conservative'!N30/1000</f>
        <v>125.31422924999998</v>
      </c>
      <c r="K11" s="160">
        <f>'DATA Conservative'!O51*'DATA Conservative'!O30/1000</f>
        <v>136.1852386374375</v>
      </c>
      <c r="L11" s="160">
        <f>'DATA Conservative'!P51*'DATA Conservative'!P30/1000</f>
        <v>147.9993080892352</v>
      </c>
      <c r="M11" s="159">
        <f>'DATA Conservative'!Q51*'DATA Conservative'!Q30/1000</f>
        <v>160.83824806597633</v>
      </c>
      <c r="N11" s="161">
        <f>'DATA Conservative'!R51*'DATA Conservative'!R30/1000</f>
        <v>174.7909660856998</v>
      </c>
      <c r="O11" s="159">
        <f>'DATA Conservative'!S51*'DATA Conservative'!S30/1000</f>
        <v>187.2011246777845</v>
      </c>
      <c r="P11" s="160">
        <f>'DATA Conservative'!T51*'DATA Conservative'!T30/1000</f>
        <v>200.4924045299072</v>
      </c>
      <c r="Q11" s="160">
        <f>'DATA Conservative'!U51*'DATA Conservative'!U30/1000</f>
        <v>214.72736525153064</v>
      </c>
      <c r="R11" s="160">
        <f>'DATA Conservative'!V51*'DATA Conservative'!V30/1000</f>
        <v>229.9730081843893</v>
      </c>
      <c r="S11" s="161">
        <f>'DATA Conservative'!W51*'DATA Conservative'!W30/1000</f>
        <v>246.30109176548095</v>
      </c>
    </row>
    <row r="12" spans="1:19" ht="15" customHeight="1">
      <c r="A12" s="362" t="s">
        <v>84</v>
      </c>
      <c r="B12" s="160">
        <f>'DATA Conservative'!F52*'DATA Conservative'!F31/1000</f>
        <v>23.135689814714418</v>
      </c>
      <c r="C12" s="160">
        <f>'DATA Conservative'!G52*'DATA Conservative'!G31/1000</f>
        <v>23.922303268414712</v>
      </c>
      <c r="D12" s="160">
        <f>'DATA Conservative'!H52*'DATA Conservative'!H31/1000</f>
        <v>24.73566157954081</v>
      </c>
      <c r="E12" s="160">
        <f>'DATA Conservative'!I52*'DATA Conservative'!I31/1000</f>
        <v>25.576674073245197</v>
      </c>
      <c r="F12" s="160">
        <f>'DATA Conservative'!J52*'DATA Conservative'!J31/1000</f>
        <v>26.446280991735534</v>
      </c>
      <c r="G12" s="160">
        <f>'DATA Conservative'!K52*'DATA Conservative'!K31/1000</f>
        <v>27.272727272727273</v>
      </c>
      <c r="H12" s="160">
        <f>'DATA Conservative'!L52*'DATA Conservative'!L31/1000</f>
        <v>29</v>
      </c>
      <c r="I12" s="160">
        <f>'DATA Conservative'!M52*'DATA Conservative'!M31/1000</f>
        <v>29.5365</v>
      </c>
      <c r="J12" s="160">
        <f>'DATA Conservative'!N52*'DATA Conservative'!N31/1000</f>
        <v>30.08292525</v>
      </c>
      <c r="K12" s="160">
        <f>'DATA Conservative'!O52*'DATA Conservative'!O31/1000</f>
        <v>30.639459367124996</v>
      </c>
      <c r="L12" s="160">
        <f>'DATA Conservative'!P52*'DATA Conservative'!P31/1000</f>
        <v>31.20628936541681</v>
      </c>
      <c r="M12" s="159">
        <f>'DATA Conservative'!Q52*'DATA Conservative'!Q31/1000</f>
        <v>31.783605718677023</v>
      </c>
      <c r="N12" s="161">
        <f>'DATA Conservative'!R52*'DATA Conservative'!R31/1000</f>
        <v>32.37160242447255</v>
      </c>
      <c r="O12" s="159">
        <f>'DATA Conservative'!S52*'DATA Conservative'!S31/1000</f>
        <v>32.97047706932529</v>
      </c>
      <c r="P12" s="160">
        <f>'DATA Conservative'!T52*'DATA Conservative'!T31/1000</f>
        <v>33.58043089510781</v>
      </c>
      <c r="Q12" s="160">
        <f>'DATA Conservative'!U52*'DATA Conservative'!U31/1000</f>
        <v>34.201668866667305</v>
      </c>
      <c r="R12" s="160">
        <f>'DATA Conservative'!V52*'DATA Conservative'!V31/1000</f>
        <v>34.834399740700654</v>
      </c>
      <c r="S12" s="161">
        <f>'DATA Conservative'!W52*'DATA Conservative'!W31/1000</f>
        <v>35.47883613590362</v>
      </c>
    </row>
    <row r="13" spans="1:19" ht="15" customHeight="1">
      <c r="A13" s="362" t="s">
        <v>86</v>
      </c>
      <c r="B13" s="160">
        <f>'DATA Conservative'!F53*'DATA Conservative'!F32/1000</f>
        <v>16.675133187623793</v>
      </c>
      <c r="C13" s="160">
        <f>'DATA Conservative'!G53*'DATA Conservative'!G32/1000</f>
        <v>14.67411720510894</v>
      </c>
      <c r="D13" s="160">
        <f>'DATA Conservative'!H53*'DATA Conservative'!H32/1000</f>
        <v>12.913223140495866</v>
      </c>
      <c r="E13" s="160">
        <f>'DATA Conservative'!I53*'DATA Conservative'!I32/1000</f>
        <v>11.363636363636362</v>
      </c>
      <c r="F13" s="160">
        <f>'DATA Conservative'!J53*'DATA Conservative'!J32/1000</f>
        <v>10</v>
      </c>
      <c r="G13" s="160">
        <f>'DATA Conservative'!K53*'DATA Conservative'!K32/1000</f>
        <v>9.74</v>
      </c>
      <c r="H13" s="160">
        <f>'DATA Conservative'!L53*'DATA Conservative'!L32/1000</f>
        <v>8.38</v>
      </c>
      <c r="I13" s="160">
        <f>'DATA Conservative'!M53*'DATA Conservative'!M32/1000</f>
        <v>7.206799999999999</v>
      </c>
      <c r="J13" s="160">
        <f>'DATA Conservative'!N53*'DATA Conservative'!N32/1000</f>
        <v>6.197847999999999</v>
      </c>
      <c r="K13" s="160">
        <f>'DATA Conservative'!O53*'DATA Conservative'!O32/1000</f>
        <v>5.33014928</v>
      </c>
      <c r="L13" s="160">
        <f>'DATA Conservative'!P53*'DATA Conservative'!P32/1000</f>
        <v>4.583928380799999</v>
      </c>
      <c r="M13" s="159">
        <f>'DATA Conservative'!Q53*'DATA Conservative'!Q32/1000</f>
        <v>3.942178407487999</v>
      </c>
      <c r="N13" s="161">
        <f>'DATA Conservative'!R53*'DATA Conservative'!R32/1000</f>
        <v>3.390273430439679</v>
      </c>
      <c r="O13" s="159">
        <f>'DATA Conservative'!S53*'DATA Conservative'!S32/1000</f>
        <v>2.9156351501781237</v>
      </c>
      <c r="P13" s="160">
        <f>'DATA Conservative'!T53*'DATA Conservative'!T32/1000</f>
        <v>2.5074462291531865</v>
      </c>
      <c r="Q13" s="160">
        <f>'DATA Conservative'!U53*'DATA Conservative'!U32/1000</f>
        <v>2.15640375707174</v>
      </c>
      <c r="R13" s="160">
        <f>'DATA Conservative'!V53*'DATA Conservative'!V32/1000</f>
        <v>1.8545072310816966</v>
      </c>
      <c r="S13" s="161">
        <f>'DATA Conservative'!W53*'DATA Conservative'!W32/1000</f>
        <v>1.594876218730259</v>
      </c>
    </row>
    <row r="14" spans="1:19" ht="14.5">
      <c r="A14" s="362" t="s">
        <v>88</v>
      </c>
      <c r="B14" s="160">
        <f>'DATA Conservative'!F54*'DATA Conservative'!F33/1000</f>
        <v>0.5134809286238284</v>
      </c>
      <c r="C14" s="160">
        <f>'DATA Conservative'!G54*'DATA Conservative'!G33/1000</f>
        <v>0.6631606193176743</v>
      </c>
      <c r="D14" s="160">
        <f>'DATA Conservative'!H54*'DATA Conservative'!H33/1000</f>
        <v>0.8564719398487765</v>
      </c>
      <c r="E14" s="160">
        <f>'DATA Conservative'!I54*'DATA Conservative'!I33/1000</f>
        <v>1.1061335103146948</v>
      </c>
      <c r="F14" s="160">
        <f>'DATA Conservative'!J54*'DATA Conservative'!J33/1000</f>
        <v>1.4285714285714284</v>
      </c>
      <c r="G14" s="160">
        <f>'DATA Conservative'!K54*'DATA Conservative'!K33/1000</f>
        <v>1.7142857142857142</v>
      </c>
      <c r="H14" s="160">
        <f>'DATA Conservative'!L54*'DATA Conservative'!L33/1000</f>
        <v>2.1</v>
      </c>
      <c r="I14" s="160">
        <f>'DATA Conservative'!M54*'DATA Conservative'!M33/1000</f>
        <v>2.6901</v>
      </c>
      <c r="J14" s="160">
        <f>'DATA Conservative'!N54*'DATA Conservative'!N33/1000</f>
        <v>3.4460181000000003</v>
      </c>
      <c r="K14" s="160">
        <f>'DATA Conservative'!O54*'DATA Conservative'!O33/1000</f>
        <v>4.4143491861</v>
      </c>
      <c r="L14" s="160">
        <f>'DATA Conservative'!P54*'DATA Conservative'!P33/1000</f>
        <v>5.6547813073941</v>
      </c>
      <c r="M14" s="159">
        <f>'DATA Conservative'!Q54*'DATA Conservative'!Q33/1000</f>
        <v>7.243774854771843</v>
      </c>
      <c r="N14" s="161">
        <f>'DATA Conservative'!R54*'DATA Conservative'!R33/1000</f>
        <v>9.279275588962731</v>
      </c>
      <c r="O14" s="159">
        <f>'DATA Conservative'!S54*'DATA Conservative'!S33/1000</f>
        <v>11.88675202946126</v>
      </c>
      <c r="P14" s="160">
        <f>'DATA Conservative'!T54*'DATA Conservative'!T33/1000</f>
        <v>15.226929349739875</v>
      </c>
      <c r="Q14" s="160">
        <f>'DATA Conservative'!U54*'DATA Conservative'!U33/1000</f>
        <v>19.50569649701678</v>
      </c>
      <c r="R14" s="160">
        <f>'DATA Conservative'!V54*'DATA Conservative'!V33/1000</f>
        <v>24.986797212678493</v>
      </c>
      <c r="S14" s="161">
        <f>'DATA Conservative'!W54*'DATA Conservative'!W33/1000</f>
        <v>32.008087229441145</v>
      </c>
    </row>
    <row r="15" spans="1:19" ht="15" customHeight="1">
      <c r="A15" s="362" t="s">
        <v>90</v>
      </c>
      <c r="B15" s="160">
        <f>'DATA Conservative'!F55*'DATA Conservative'!F34/1000</f>
        <v>131.63532048854086</v>
      </c>
      <c r="C15" s="160">
        <f>'DATA Conservative'!G55*'DATA Conservative'!G34/1000</f>
        <v>144.79885253739494</v>
      </c>
      <c r="D15" s="160">
        <f>'DATA Conservative'!H55*'DATA Conservative'!H34/1000</f>
        <v>159.27873779113443</v>
      </c>
      <c r="E15" s="160">
        <f>'DATA Conservative'!I55*'DATA Conservative'!I34/1000</f>
        <v>175.20661157024787</v>
      </c>
      <c r="F15" s="160">
        <f>'DATA Conservative'!J55*'DATA Conservative'!J34/1000</f>
        <v>192.7272727272727</v>
      </c>
      <c r="G15" s="160">
        <f>'DATA Conservative'!K55*'DATA Conservative'!K34/1000</f>
        <v>216.81818181818178</v>
      </c>
      <c r="H15" s="160">
        <f>'DATA Conservative'!L55*'DATA Conservative'!L34/1000</f>
        <v>243.8</v>
      </c>
      <c r="I15" s="160">
        <f>'DATA Conservative'!M55*'DATA Conservative'!M34/1000</f>
        <v>260.866</v>
      </c>
      <c r="J15" s="160">
        <f>'DATA Conservative'!N55*'DATA Conservative'!N34/1000</f>
        <v>279.12662</v>
      </c>
      <c r="K15" s="160">
        <f>'DATA Conservative'!O55*'DATA Conservative'!O34/1000</f>
        <v>298.6654834</v>
      </c>
      <c r="L15" s="160">
        <f>'DATA Conservative'!P55*'DATA Conservative'!P34/1000</f>
        <v>319.5720672380001</v>
      </c>
      <c r="M15" s="159">
        <f>'DATA Conservative'!Q55*'DATA Conservative'!Q34/1000</f>
        <v>341.94211194466016</v>
      </c>
      <c r="N15" s="161">
        <f>'DATA Conservative'!R55*'DATA Conservative'!R34/1000</f>
        <v>365.8780597807863</v>
      </c>
      <c r="O15" s="159">
        <f>'DATA Conservative'!S55*'DATA Conservative'!S34/1000</f>
        <v>391.48952396544144</v>
      </c>
      <c r="P15" s="160">
        <f>'DATA Conservative'!T55*'DATA Conservative'!T34/1000</f>
        <v>418.8937906430224</v>
      </c>
      <c r="Q15" s="160">
        <f>'DATA Conservative'!U55*'DATA Conservative'!U34/1000</f>
        <v>448.21635598803397</v>
      </c>
      <c r="R15" s="160">
        <f>'DATA Conservative'!V55*'DATA Conservative'!V34/1000</f>
        <v>479.59150090719635</v>
      </c>
      <c r="S15" s="161">
        <f>'DATA Conservative'!W55*'DATA Conservative'!W34/1000</f>
        <v>513.1629059707002</v>
      </c>
    </row>
    <row r="16" spans="1:19" ht="15" customHeight="1">
      <c r="A16" s="362" t="s">
        <v>92</v>
      </c>
      <c r="B16" s="160">
        <f>'DATA Conservative'!F56*'DATA Conservative'!F35/1000</f>
        <v>8.496876708272591</v>
      </c>
      <c r="C16" s="160">
        <f>'DATA Conservative'!G56*'DATA Conservative'!G35/1000</f>
        <v>9.516501913265303</v>
      </c>
      <c r="D16" s="160">
        <f>'DATA Conservative'!H56*'DATA Conservative'!H35/1000</f>
        <v>10.65848214285714</v>
      </c>
      <c r="E16" s="160">
        <f>'DATA Conservative'!I56*'DATA Conservative'!I35/1000</f>
        <v>11.9375</v>
      </c>
      <c r="F16" s="160">
        <f>'DATA Conservative'!J56*'DATA Conservative'!J35/1000</f>
        <v>13.37</v>
      </c>
      <c r="G16" s="160">
        <f>'DATA Conservative'!K56*'DATA Conservative'!K35/1000</f>
        <v>15</v>
      </c>
      <c r="H16" s="160">
        <f>'DATA Conservative'!L56*'DATA Conservative'!L35/1000</f>
        <v>16.8</v>
      </c>
      <c r="I16" s="160">
        <f>'DATA Conservative'!M56*'DATA Conservative'!M35/1000</f>
        <v>17.297280000000004</v>
      </c>
      <c r="J16" s="160">
        <f>'DATA Conservative'!N56*'DATA Conservative'!N35/1000</f>
        <v>17.809279488000005</v>
      </c>
      <c r="K16" s="160">
        <f>'DATA Conservative'!O56*'DATA Conservative'!O35/1000</f>
        <v>18.336434160844806</v>
      </c>
      <c r="L16" s="160">
        <f>'DATA Conservative'!P56*'DATA Conservative'!P35/1000</f>
        <v>18.879192612005813</v>
      </c>
      <c r="M16" s="159">
        <f>'DATA Conservative'!Q56*'DATA Conservative'!Q35/1000</f>
        <v>19.438016713321186</v>
      </c>
      <c r="N16" s="161">
        <f>'DATA Conservative'!R56*'DATA Conservative'!R35/1000</f>
        <v>20.013382008035492</v>
      </c>
      <c r="O16" s="159">
        <f>'DATA Conservative'!S56*'DATA Conservative'!S35/1000</f>
        <v>20.60577811547334</v>
      </c>
      <c r="P16" s="160">
        <f>'DATA Conservative'!T56*'DATA Conservative'!T35/1000</f>
        <v>21.21570914769135</v>
      </c>
      <c r="Q16" s="160">
        <f>'DATA Conservative'!U56*'DATA Conservative'!U35/1000</f>
        <v>21.843694138463015</v>
      </c>
      <c r="R16" s="160">
        <f>'DATA Conservative'!V56*'DATA Conservative'!V35/1000</f>
        <v>22.49026748496152</v>
      </c>
      <c r="S16" s="161">
        <f>'DATA Conservative'!W56*'DATA Conservative'!W35/1000</f>
        <v>23.155979402516387</v>
      </c>
    </row>
    <row r="17" spans="1:19" ht="15" customHeight="1">
      <c r="A17" s="362" t="s">
        <v>94</v>
      </c>
      <c r="B17" s="160">
        <f>'DATA Conservative'!F57*'DATA Conservative'!F36/1000</f>
        <v>4.44981948512768</v>
      </c>
      <c r="C17" s="160">
        <f>'DATA Conservative'!G57*'DATA Conservative'!G36/1000</f>
        <v>4.494317679978957</v>
      </c>
      <c r="D17" s="160">
        <f>'DATA Conservative'!H57*'DATA Conservative'!H36/1000</f>
        <v>4.539260856778746</v>
      </c>
      <c r="E17" s="160">
        <f>'DATA Conservative'!I57*'DATA Conservative'!I36/1000</f>
        <v>4.584653465346534</v>
      </c>
      <c r="F17" s="160">
        <f>'DATA Conservative'!J57*'DATA Conservative'!J36/1000</f>
        <v>4.6305</v>
      </c>
      <c r="G17" s="160">
        <f>'DATA Conservative'!K57*'DATA Conservative'!K36/1000</f>
        <v>5.04</v>
      </c>
      <c r="H17" s="160">
        <f>'DATA Conservative'!L57*'DATA Conservative'!L36/1000</f>
        <v>4.44</v>
      </c>
      <c r="I17" s="160">
        <f>'DATA Conservative'!M57*'DATA Conservative'!M36/1000</f>
        <v>4.61538</v>
      </c>
      <c r="J17" s="160">
        <f>'DATA Conservative'!N57*'DATA Conservative'!N36/1000</f>
        <v>4.79768751</v>
      </c>
      <c r="K17" s="160">
        <f>'DATA Conservative'!O57*'DATA Conservative'!O36/1000</f>
        <v>4.987196166645001</v>
      </c>
      <c r="L17" s="160">
        <f>'DATA Conservative'!P57*'DATA Conservative'!P36/1000</f>
        <v>5.184190415227478</v>
      </c>
      <c r="M17" s="159">
        <f>'DATA Conservative'!Q57*'DATA Conservative'!Q36/1000</f>
        <v>5.3889659366289635</v>
      </c>
      <c r="N17" s="161">
        <f>'DATA Conservative'!R57*'DATA Conservative'!R36/1000</f>
        <v>5.601830091125809</v>
      </c>
      <c r="O17" s="159">
        <f>'DATA Conservative'!S57*'DATA Conservative'!S36/1000</f>
        <v>5.823102379725278</v>
      </c>
      <c r="P17" s="160">
        <f>'DATA Conservative'!T57*'DATA Conservative'!T36/1000</f>
        <v>6.0531149237244275</v>
      </c>
      <c r="Q17" s="160">
        <f>'DATA Conservative'!U57*'DATA Conservative'!U36/1000</f>
        <v>6.292212963211542</v>
      </c>
      <c r="R17" s="160">
        <f>'DATA Conservative'!V57*'DATA Conservative'!V36/1000</f>
        <v>6.540755375258399</v>
      </c>
      <c r="S17" s="161">
        <f>'DATA Conservative'!W57*'DATA Conservative'!W36/1000</f>
        <v>6.799115212581107</v>
      </c>
    </row>
    <row r="18" spans="1:19" ht="15" customHeight="1">
      <c r="A18" s="362" t="s">
        <v>96</v>
      </c>
      <c r="B18" s="160">
        <f>'DATA Conservative'!F58*'DATA Conservative'!F37/1000</f>
        <v>8.4</v>
      </c>
      <c r="C18" s="160">
        <f>'DATA Conservative'!G58*'DATA Conservative'!G37/1000</f>
        <v>8.4</v>
      </c>
      <c r="D18" s="160">
        <f>'DATA Conservative'!H58*'DATA Conservative'!H37/1000</f>
        <v>8.4</v>
      </c>
      <c r="E18" s="160">
        <f>'DATA Conservative'!I58*'DATA Conservative'!I37/1000</f>
        <v>8.4</v>
      </c>
      <c r="F18" s="160">
        <f>'DATA Conservative'!J58*'DATA Conservative'!J37/1000</f>
        <v>8.4</v>
      </c>
      <c r="G18" s="160">
        <f>'DATA Conservative'!K58*'DATA Conservative'!K37/1000</f>
        <v>8.4</v>
      </c>
      <c r="H18" s="160">
        <f>'DATA Conservative'!L58*'DATA Conservative'!L37/1000</f>
        <v>8.4</v>
      </c>
      <c r="I18" s="160">
        <f>'DATA Conservative'!M58*'DATA Conservative'!M37/1000</f>
        <v>8.316</v>
      </c>
      <c r="J18" s="160">
        <f>'DATA Conservative'!N58*'DATA Conservative'!N37/1000</f>
        <v>8.23284</v>
      </c>
      <c r="K18" s="160">
        <f>'DATA Conservative'!O58*'DATA Conservative'!O37/1000</f>
        <v>8.1505116</v>
      </c>
      <c r="L18" s="160">
        <f>'DATA Conservative'!P58*'DATA Conservative'!P37/1000</f>
        <v>8.069006483999999</v>
      </c>
      <c r="M18" s="159">
        <f>'DATA Conservative'!Q58*'DATA Conservative'!Q37/1000</f>
        <v>7.988316419159999</v>
      </c>
      <c r="N18" s="161">
        <f>'DATA Conservative'!R58*'DATA Conservative'!R37/1000</f>
        <v>7.9084332549684</v>
      </c>
      <c r="O18" s="159">
        <f>'DATA Conservative'!S58*'DATA Conservative'!S37/1000</f>
        <v>7.829348922418716</v>
      </c>
      <c r="P18" s="160">
        <f>'DATA Conservative'!T58*'DATA Conservative'!T37/1000</f>
        <v>7.751055433194528</v>
      </c>
      <c r="Q18" s="160">
        <f>'DATA Conservative'!U58*'DATA Conservative'!U37/1000</f>
        <v>7.673544878862583</v>
      </c>
      <c r="R18" s="160">
        <f>'DATA Conservative'!V58*'DATA Conservative'!V37/1000</f>
        <v>7.596809430073957</v>
      </c>
      <c r="S18" s="161">
        <f>'DATA Conservative'!W58*'DATA Conservative'!W37/1000</f>
        <v>7.520841335773219</v>
      </c>
    </row>
    <row r="19" spans="1:19" ht="15" customHeight="1">
      <c r="A19" s="362" t="s">
        <v>5</v>
      </c>
      <c r="B19" s="160">
        <f>'DATA Conservative'!F59*'DATA Conservative'!F38/1000</f>
        <v>0</v>
      </c>
      <c r="C19" s="160">
        <f>'DATA Conservative'!G59*'DATA Conservative'!G38/1000</f>
        <v>0</v>
      </c>
      <c r="D19" s="160">
        <f>'DATA Conservative'!H59*'DATA Conservative'!H38/1000</f>
        <v>0</v>
      </c>
      <c r="E19" s="160">
        <f>'DATA Conservative'!I59*'DATA Conservative'!I38/1000</f>
        <v>0</v>
      </c>
      <c r="F19" s="160">
        <f>'DATA Conservative'!J59*'DATA Conservative'!J38/1000</f>
        <v>0.0980296049406921</v>
      </c>
      <c r="G19" s="160">
        <f>'DATA Conservative'!K59*'DATA Conservative'!K38/1000</f>
        <v>0.19801980198019803</v>
      </c>
      <c r="H19" s="160">
        <f>'DATA Conservative'!L59*'DATA Conservative'!L38/1000</f>
        <v>0.3</v>
      </c>
      <c r="I19" s="160">
        <f>'DATA Conservative'!M59*'DATA Conservative'!M38/1000</f>
        <v>0.51603</v>
      </c>
      <c r="J19" s="160">
        <f>'DATA Conservative'!N59*'DATA Conservative'!N38/1000</f>
        <v>0.887623203</v>
      </c>
      <c r="K19" s="160">
        <f>'DATA Conservative'!O59*'DATA Conservative'!O38/1000</f>
        <v>1.5268006714803</v>
      </c>
      <c r="L19" s="160">
        <f>'DATA Conservative'!P59*'DATA Conservative'!P38/1000</f>
        <v>2.6262498350132635</v>
      </c>
      <c r="M19" s="159">
        <f>'DATA Conservative'!Q59*'DATA Conservative'!Q38/1000</f>
        <v>4.517412341206316</v>
      </c>
      <c r="N19" s="161">
        <f>'DATA Conservative'!R59*'DATA Conservative'!R38/1000</f>
        <v>7.770400968108983</v>
      </c>
      <c r="O19" s="159">
        <f>'DATA Conservative'!S59*'DATA Conservative'!S38/1000</f>
        <v>10.404566896297927</v>
      </c>
      <c r="P19" s="160">
        <f>'DATA Conservative'!T59*'DATA Conservative'!T38/1000</f>
        <v>13.931715074142927</v>
      </c>
      <c r="Q19" s="160">
        <f>'DATA Conservative'!U59*'DATA Conservative'!U38/1000</f>
        <v>18.65456648427738</v>
      </c>
      <c r="R19" s="160">
        <f>'DATA Conservative'!V59*'DATA Conservative'!V38/1000</f>
        <v>24.978464522447418</v>
      </c>
      <c r="S19" s="161">
        <f>'DATA Conservative'!W59*'DATA Conservative'!W38/1000</f>
        <v>33.4461639955571</v>
      </c>
    </row>
    <row r="20" spans="1:19" ht="15" customHeight="1">
      <c r="A20" s="362" t="s">
        <v>33</v>
      </c>
      <c r="B20" s="160">
        <f>'DATA Conservative'!F60*'DATA Conservative'!F39/1000</f>
        <v>0</v>
      </c>
      <c r="C20" s="160">
        <f>'DATA Conservative'!G60*'DATA Conservative'!G39/1000</f>
        <v>0</v>
      </c>
      <c r="D20" s="160">
        <f>'DATA Conservative'!H60*'DATA Conservative'!H39/1000</f>
        <v>0</v>
      </c>
      <c r="E20" s="160">
        <f>'DATA Conservative'!I60*'DATA Conservative'!I39/1000</f>
        <v>0</v>
      </c>
      <c r="F20" s="160">
        <f>'DATA Conservative'!J60*'DATA Conservative'!J39/1000</f>
        <v>6.032613818456028</v>
      </c>
      <c r="G20" s="160">
        <f>'DATA Conservative'!K60*'DATA Conservative'!K39/1000</f>
        <v>9.70873786407767</v>
      </c>
      <c r="H20" s="160">
        <f>'DATA Conservative'!L60*'DATA Conservative'!L39/1000</f>
        <v>11.2</v>
      </c>
      <c r="I20" s="160">
        <f>'DATA Conservative'!M60*'DATA Conservative'!M39/1000</f>
        <v>13.72784</v>
      </c>
      <c r="J20" s="160">
        <f>'DATA Conservative'!N60*'DATA Conservative'!N39/1000</f>
        <v>16.826213488</v>
      </c>
      <c r="K20" s="160">
        <f>'DATA Conservative'!O60*'DATA Conservative'!O39/1000</f>
        <v>20.6238898722416</v>
      </c>
      <c r="L20" s="160">
        <f>'DATA Conservative'!P60*'DATA Conservative'!P39/1000</f>
        <v>25.27870181640653</v>
      </c>
      <c r="M20" s="159">
        <f>'DATA Conservative'!Q60*'DATA Conservative'!Q39/1000</f>
        <v>30.98410481636948</v>
      </c>
      <c r="N20" s="161">
        <f>'DATA Conservative'!R60*'DATA Conservative'!R39/1000</f>
        <v>37.97721727342407</v>
      </c>
      <c r="O20" s="159">
        <f>'DATA Conservative'!S60*'DATA Conservative'!S39/1000</f>
        <v>46.54867521203589</v>
      </c>
      <c r="P20" s="160">
        <f>'DATA Conservative'!T60*'DATA Conservative'!T39/1000</f>
        <v>57.05471120739239</v>
      </c>
      <c r="Q20" s="160">
        <f>'DATA Conservative'!U60*'DATA Conservative'!U39/1000</f>
        <v>69.93195952690084</v>
      </c>
      <c r="R20" s="160">
        <f>'DATA Conservative'!V60*'DATA Conservative'!V39/1000</f>
        <v>85.71560279212237</v>
      </c>
      <c r="S20" s="161">
        <f>'DATA Conservative'!W60*'DATA Conservative'!W39/1000</f>
        <v>105.06161434230438</v>
      </c>
    </row>
    <row r="21" spans="1:19" ht="15" customHeight="1">
      <c r="A21" s="362" t="s">
        <v>101</v>
      </c>
      <c r="B21" s="160">
        <f>'DATA Conservative'!F61*'DATA Conservative'!F40/1000</f>
        <v>0</v>
      </c>
      <c r="C21" s="160">
        <f>'DATA Conservative'!G61*'DATA Conservative'!G40/1000</f>
        <v>2.017994299942253</v>
      </c>
      <c r="D21" s="160">
        <f>'DATA Conservative'!H61*'DATA Conservative'!H40/1000</f>
        <v>2.3973772283313974</v>
      </c>
      <c r="E21" s="160">
        <f>'DATA Conservative'!I61*'DATA Conservative'!I40/1000</f>
        <v>2.9301277235161525</v>
      </c>
      <c r="F21" s="160">
        <f>'DATA Conservative'!J61*'DATA Conservative'!J40/1000</f>
        <v>3.438016528925619</v>
      </c>
      <c r="G21" s="160">
        <f>'DATA Conservative'!K61*'DATA Conservative'!K40/1000</f>
        <v>4.136363636363636</v>
      </c>
      <c r="H21" s="160">
        <f>'DATA Conservative'!L61*'DATA Conservative'!L40/1000</f>
        <v>4.94</v>
      </c>
      <c r="I21" s="160">
        <f>'DATA Conservative'!M61*'DATA Conservative'!M40/1000</f>
        <v>5.814379999999999</v>
      </c>
      <c r="J21" s="160">
        <f>'DATA Conservative'!N61*'DATA Conservative'!N40/1000</f>
        <v>6.843525260000001</v>
      </c>
      <c r="K21" s="160">
        <f>'DATA Conservative'!O61*'DATA Conservative'!O40/1000</f>
        <v>8.054829231020003</v>
      </c>
      <c r="L21" s="160">
        <f>'DATA Conservative'!P61*'DATA Conservative'!P40/1000</f>
        <v>9.480534004910544</v>
      </c>
      <c r="M21" s="159">
        <f>'DATA Conservative'!Q61*'DATA Conservative'!Q40/1000</f>
        <v>11.158588523779711</v>
      </c>
      <c r="N21" s="161">
        <f>'DATA Conservative'!R61*'DATA Conservative'!R40/1000</f>
        <v>13.133658692488721</v>
      </c>
      <c r="O21" s="159">
        <f>'DATA Conservative'!S61*'DATA Conservative'!S40/1000</f>
        <v>15.45831628105923</v>
      </c>
      <c r="P21" s="160">
        <f>'DATA Conservative'!T61*'DATA Conservative'!T40/1000</f>
        <v>18.194438262806713</v>
      </c>
      <c r="Q21" s="160">
        <f>'DATA Conservative'!U61*'DATA Conservative'!U40/1000</f>
        <v>21.41485383532351</v>
      </c>
      <c r="R21" s="160">
        <f>'DATA Conservative'!V61*'DATA Conservative'!V40/1000</f>
        <v>25.205282964175773</v>
      </c>
      <c r="S21" s="161">
        <f>'DATA Conservative'!W61*'DATA Conservative'!W40/1000</f>
        <v>29.666618048834884</v>
      </c>
    </row>
    <row r="22" spans="1:19" ht="15" customHeight="1">
      <c r="A22" s="363" t="s">
        <v>16</v>
      </c>
      <c r="B22" s="220">
        <f>'DATA Conservative'!F62*'DATA Conservative'!F41/1000</f>
        <v>0</v>
      </c>
      <c r="C22" s="220">
        <f>'DATA Conservative'!G62*'DATA Conservative'!G41/1000</f>
        <v>0.04313043921920819</v>
      </c>
      <c r="D22" s="220">
        <f>'DATA Conservative'!H62*'DATA Conservative'!H41/1000</f>
        <v>0.13327305718735333</v>
      </c>
      <c r="E22" s="220">
        <f>'DATA Conservative'!I62*'DATA Conservative'!I41/1000</f>
        <v>0.22878541483828985</v>
      </c>
      <c r="F22" s="220">
        <f>'DATA Conservative'!J62*'DATA Conservative'!J41/1000</f>
        <v>0.47129795456687706</v>
      </c>
      <c r="G22" s="220">
        <f>'DATA Conservative'!K62*'DATA Conservative'!K41/1000</f>
        <v>0.7766990291262136</v>
      </c>
      <c r="H22" s="220">
        <f>'DATA Conservative'!L62*'DATA Conservative'!L41/1000</f>
        <v>1.25</v>
      </c>
      <c r="I22" s="220">
        <f>'DATA Conservative'!M62*'DATA Conservative'!M41/1000</f>
        <v>1.6065</v>
      </c>
      <c r="J22" s="220">
        <f>'DATA Conservative'!N62*'DATA Conservative'!N41/1000</f>
        <v>2.0646738</v>
      </c>
      <c r="K22" s="220">
        <f>'DATA Conservative'!O62*'DATA Conservative'!O41/1000</f>
        <v>2.65351876776</v>
      </c>
      <c r="L22" s="220">
        <f>'DATA Conservative'!P62*'DATA Conservative'!P41/1000</f>
        <v>3.410302320325152</v>
      </c>
      <c r="M22" s="219">
        <f>'DATA Conservative'!Q62*'DATA Conservative'!Q41/1000</f>
        <v>4.3829205420818855</v>
      </c>
      <c r="N22" s="222">
        <f>'DATA Conservative'!R62*'DATA Conservative'!R41/1000</f>
        <v>5.632929480683639</v>
      </c>
      <c r="O22" s="159">
        <f>'DATA Conservative'!S62*'DATA Conservative'!S41/1000</f>
        <v>7.2394409685746135</v>
      </c>
      <c r="P22" s="160">
        <f>'DATA Conservative'!T62*'DATA Conservative'!T41/1000</f>
        <v>9.304129532812095</v>
      </c>
      <c r="Q22" s="160">
        <f>'DATA Conservative'!U62*'DATA Conservative'!U41/1000</f>
        <v>11.957667275570104</v>
      </c>
      <c r="R22" s="160">
        <f>'DATA Conservative'!V62*'DATA Conservative'!V41/1000</f>
        <v>15.367993982562696</v>
      </c>
      <c r="S22" s="161">
        <f>'DATA Conservative'!W62*'DATA Conservative'!W41/1000</f>
        <v>19.75094586638958</v>
      </c>
    </row>
    <row r="23" spans="1:19" ht="15" customHeight="1">
      <c r="A23" s="361" t="s">
        <v>172</v>
      </c>
      <c r="B23" s="163">
        <f>B49*0.3</f>
        <v>12.154644329861112</v>
      </c>
      <c r="C23" s="163">
        <f aca="true" t="shared" si="0" ref="B23:G24">C49*0.3</f>
        <v>11.548086874999997</v>
      </c>
      <c r="D23" s="163">
        <f t="shared" si="0"/>
        <v>12.939236496516296</v>
      </c>
      <c r="E23" s="163">
        <f t="shared" si="0"/>
        <v>12.534644249999998</v>
      </c>
      <c r="F23" s="163">
        <f t="shared" si="0"/>
        <v>13.0645375</v>
      </c>
      <c r="G23" s="163">
        <f t="shared" si="0"/>
        <v>14.546418</v>
      </c>
      <c r="H23" s="364">
        <f aca="true" t="shared" si="1" ref="H23:H24">H49*0.3</f>
        <v>15.720638984999997</v>
      </c>
      <c r="I23" s="163">
        <f aca="true" t="shared" si="2" ref="I23:S24">I49*0.3</f>
        <v>16.395561472473002</v>
      </c>
      <c r="J23" s="163">
        <f t="shared" si="2"/>
        <v>17.189718833540116</v>
      </c>
      <c r="K23" s="163">
        <f t="shared" si="2"/>
        <v>18.108263655271667</v>
      </c>
      <c r="L23" s="163">
        <f t="shared" si="2"/>
        <v>19.15747648748692</v>
      </c>
      <c r="M23" s="162">
        <f t="shared" si="2"/>
        <v>20.3448085695899</v>
      </c>
      <c r="N23" s="163">
        <f t="shared" si="2"/>
        <v>21.67893540450178</v>
      </c>
      <c r="O23" s="162">
        <f t="shared" si="2"/>
        <v>22.09477368376141</v>
      </c>
      <c r="P23" s="163">
        <f t="shared" si="2"/>
        <v>22.56516555987493</v>
      </c>
      <c r="Q23" s="163">
        <f t="shared" si="2"/>
        <v>23.09022190456935</v>
      </c>
      <c r="R23" s="163">
        <f t="shared" si="2"/>
        <v>23.67022645927634</v>
      </c>
      <c r="S23" s="164">
        <f t="shared" si="2"/>
        <v>24.305631177826964</v>
      </c>
    </row>
    <row r="24" spans="1:19" ht="15" customHeight="1">
      <c r="A24" s="363" t="s">
        <v>327</v>
      </c>
      <c r="B24" s="220">
        <f t="shared" si="0"/>
        <v>9.253198529647504</v>
      </c>
      <c r="C24" s="220">
        <f t="shared" si="0"/>
        <v>9.729105154626874</v>
      </c>
      <c r="D24" s="220">
        <f t="shared" si="0"/>
        <v>11.103042384720135</v>
      </c>
      <c r="E24" s="220">
        <f t="shared" si="0"/>
        <v>13.065367322501878</v>
      </c>
      <c r="F24" s="220">
        <f t="shared" si="0"/>
        <v>14.687950124612602</v>
      </c>
      <c r="G24" s="220">
        <f t="shared" si="0"/>
        <v>15.637219609765909</v>
      </c>
      <c r="H24" s="365">
        <f t="shared" si="1"/>
        <v>15.765148419237212</v>
      </c>
      <c r="I24" s="220">
        <f t="shared" si="2"/>
        <v>16.033155942364246</v>
      </c>
      <c r="J24" s="220">
        <f t="shared" si="2"/>
        <v>16.30571959338444</v>
      </c>
      <c r="K24" s="220">
        <f t="shared" si="2"/>
        <v>16.582916826471973</v>
      </c>
      <c r="L24" s="220">
        <f t="shared" si="2"/>
        <v>16.864826412521992</v>
      </c>
      <c r="M24" s="219">
        <f t="shared" si="2"/>
        <v>17.151528461534866</v>
      </c>
      <c r="N24" s="220">
        <f t="shared" si="2"/>
        <v>17.443104445380957</v>
      </c>
      <c r="O24" s="219">
        <f t="shared" si="2"/>
        <v>17.739637220952428</v>
      </c>
      <c r="P24" s="220">
        <f t="shared" si="2"/>
        <v>18.04121105370862</v>
      </c>
      <c r="Q24" s="220">
        <f t="shared" si="2"/>
        <v>18.347911641621664</v>
      </c>
      <c r="R24" s="220">
        <f t="shared" si="2"/>
        <v>18.65982613952923</v>
      </c>
      <c r="S24" s="222">
        <f t="shared" si="2"/>
        <v>18.977043183901223</v>
      </c>
    </row>
    <row r="25" spans="1:19" ht="15" customHeight="1">
      <c r="A25" s="153" t="s">
        <v>328</v>
      </c>
      <c r="B25" s="366">
        <f>SUM(B6:B24)</f>
        <v>475.9553071458097</v>
      </c>
      <c r="C25" s="366">
        <f>SUM(C6:C24)</f>
        <v>497.8238809335922</v>
      </c>
      <c r="D25" s="366">
        <f>SUM(D6:D24)</f>
        <v>524.7230288628889</v>
      </c>
      <c r="E25" s="366">
        <f>SUM(E6:E24)</f>
        <v>554.7182315197635</v>
      </c>
      <c r="F25" s="366">
        <f>SUM(F6:F24)</f>
        <v>596.1994743269064</v>
      </c>
      <c r="G25" s="366">
        <f aca="true" t="shared" si="3" ref="G25:H25">SUM(G6:G24)</f>
        <v>638.013674571089</v>
      </c>
      <c r="H25" s="367">
        <f t="shared" si="3"/>
        <v>681.3533499042373</v>
      </c>
      <c r="I25" s="366">
        <f>SUM(I6:I24)</f>
        <v>702.9999575523373</v>
      </c>
      <c r="J25" s="366">
        <f aca="true" t="shared" si="4" ref="J25:K25">SUM(J6:J24)</f>
        <v>738.663921999327</v>
      </c>
      <c r="K25" s="366">
        <f t="shared" si="4"/>
        <v>778.3983884571014</v>
      </c>
      <c r="L25" s="366">
        <f>SUM(L6:L24)</f>
        <v>822.8375649849067</v>
      </c>
      <c r="M25" s="368">
        <f>SUM(M6:M24)</f>
        <v>872.8400742671696</v>
      </c>
      <c r="N25" s="369">
        <f>SUM(N6:N24)</f>
        <v>929.606341302097</v>
      </c>
      <c r="O25" s="370">
        <f aca="true" t="shared" si="5" ref="O25:S25">SUM(O6:O24)</f>
        <v>988.0829537806281</v>
      </c>
      <c r="P25" s="370">
        <f t="shared" si="5"/>
        <v>1053.9692651277</v>
      </c>
      <c r="Q25" s="370">
        <f t="shared" si="5"/>
        <v>1128.5971517024586</v>
      </c>
      <c r="R25" s="370">
        <f t="shared" si="5"/>
        <v>1213.6226016356488</v>
      </c>
      <c r="S25" s="370">
        <f t="shared" si="5"/>
        <v>1311.1126638900596</v>
      </c>
    </row>
    <row r="29" spans="1:14" ht="15" customHeight="1">
      <c r="A29" s="371"/>
      <c r="B29" s="372"/>
      <c r="C29" s="372"/>
      <c r="D29" s="372"/>
      <c r="E29" s="372"/>
      <c r="F29" s="372"/>
      <c r="G29" s="372"/>
      <c r="H29" s="373"/>
      <c r="I29" s="371"/>
      <c r="J29" s="371"/>
      <c r="K29" s="371"/>
      <c r="L29" s="371"/>
      <c r="M29" s="371"/>
      <c r="N29" s="371"/>
    </row>
    <row r="30" spans="1:14" ht="15" customHeight="1">
      <c r="A30" s="374"/>
      <c r="B30" s="375"/>
      <c r="C30" s="375"/>
      <c r="D30" s="375"/>
      <c r="E30" s="375"/>
      <c r="F30" s="375"/>
      <c r="G30" s="375"/>
      <c r="H30" s="376"/>
      <c r="I30" s="375"/>
      <c r="J30" s="375"/>
      <c r="K30" s="375"/>
      <c r="L30" s="375"/>
      <c r="M30" s="375"/>
      <c r="N30" s="375"/>
    </row>
    <row r="31" spans="1:19" ht="30" customHeight="1">
      <c r="A31" s="151" t="s">
        <v>329</v>
      </c>
      <c r="B31" s="153">
        <v>2013</v>
      </c>
      <c r="C31" s="152">
        <v>2014</v>
      </c>
      <c r="D31" s="152">
        <v>2015</v>
      </c>
      <c r="E31" s="152">
        <v>2016</v>
      </c>
      <c r="F31" s="152">
        <v>2017</v>
      </c>
      <c r="G31" s="152">
        <v>2018</v>
      </c>
      <c r="H31" s="360">
        <v>2019</v>
      </c>
      <c r="I31" s="152">
        <v>2020</v>
      </c>
      <c r="J31" s="152">
        <v>2021</v>
      </c>
      <c r="K31" s="152">
        <v>2022</v>
      </c>
      <c r="L31" s="154">
        <v>2023</v>
      </c>
      <c r="M31" s="153">
        <v>2024</v>
      </c>
      <c r="N31" s="154">
        <v>2025</v>
      </c>
      <c r="O31" s="153">
        <v>2026</v>
      </c>
      <c r="P31" s="152">
        <v>2027</v>
      </c>
      <c r="Q31" s="152">
        <v>2028</v>
      </c>
      <c r="R31" s="152">
        <v>2029</v>
      </c>
      <c r="S31" s="154">
        <v>2030</v>
      </c>
    </row>
    <row r="32" spans="1:19" s="143" customFormat="1" ht="15" customHeight="1">
      <c r="A32" s="155" t="s">
        <v>74</v>
      </c>
      <c r="B32" s="159">
        <f>'DATA Conservative'!F25*'DATA Conservative'!F66/1000</f>
        <v>194.77318998573043</v>
      </c>
      <c r="C32" s="160">
        <f>'DATA Conservative'!G25*'DATA Conservative'!G66/1000</f>
        <v>183.08679858658658</v>
      </c>
      <c r="D32" s="160">
        <f>'DATA Conservative'!H25*'DATA Conservative'!H66/1000</f>
        <v>172.10159067139136</v>
      </c>
      <c r="E32" s="160">
        <f>'DATA Conservative'!I25*'DATA Conservative'!I66/1000</f>
        <v>161.7754952311079</v>
      </c>
      <c r="F32" s="160">
        <f>'DATA Conservative'!J25*'DATA Conservative'!J66/1000</f>
        <v>152.0689655172414</v>
      </c>
      <c r="G32" s="160">
        <f>'DATA Conservative'!K25*'DATA Conservative'!K66/1000</f>
        <v>148.26724137931035</v>
      </c>
      <c r="H32" s="160">
        <f>'DATA Conservative'!L25*'DATA Conservative'!L66/1000</f>
        <v>144.5605603448276</v>
      </c>
      <c r="I32" s="160">
        <f>'DATA Conservative'!M25*'DATA Conservative'!M66/1000</f>
        <v>141.66934913793105</v>
      </c>
      <c r="J32" s="160">
        <f>'DATA Conservative'!N25*'DATA Conservative'!N66/1000</f>
        <v>138.8359621551724</v>
      </c>
      <c r="K32" s="160">
        <f>'DATA Conservative'!O25*'DATA Conservative'!O66/1000</f>
        <v>136.05924291206895</v>
      </c>
      <c r="L32" s="161">
        <f>'DATA Conservative'!P25*'DATA Conservative'!P66/1000</f>
        <v>133.33805805382758</v>
      </c>
      <c r="M32" s="159">
        <f>'DATA Conservative'!Q25*'DATA Conservative'!Q66/1000</f>
        <v>130.67129689275103</v>
      </c>
      <c r="N32" s="161">
        <f>'DATA Conservative'!R25*'DATA Conservative'!R66/1000</f>
        <v>128.05787095489598</v>
      </c>
      <c r="O32" s="159">
        <f>'DATA Conservative'!S25*'DATA Conservative'!S66/1000</f>
        <v>125.49671353579807</v>
      </c>
      <c r="P32" s="160">
        <f>'DATA Conservative'!T25*'DATA Conservative'!T66/1000</f>
        <v>122.9867792650821</v>
      </c>
      <c r="Q32" s="160">
        <f>'DATA Conservative'!U25*'DATA Conservative'!U66/1000</f>
        <v>120.52704367978046</v>
      </c>
      <c r="R32" s="160">
        <f>'DATA Conservative'!V25*'DATA Conservative'!V66/1000</f>
        <v>118.11650280618484</v>
      </c>
      <c r="S32" s="161">
        <f>'DATA Conservative'!W25*'DATA Conservative'!W66/1000</f>
        <v>115.75417275006113</v>
      </c>
    </row>
    <row r="33" spans="1:19" ht="15" customHeight="1">
      <c r="A33" s="155" t="s">
        <v>76</v>
      </c>
      <c r="B33" s="159">
        <f>'DATA Conservative'!F26*'DATA Conservative'!F67/1000</f>
        <v>148.91148684804372</v>
      </c>
      <c r="C33" s="160">
        <f>'DATA Conservative'!G26*'DATA Conservative'!G67/1000</f>
        <v>151.77058739552615</v>
      </c>
      <c r="D33" s="160">
        <f>'DATA Conservative'!H26*'DATA Conservative'!H67/1000</f>
        <v>154.68458267352025</v>
      </c>
      <c r="E33" s="160">
        <f>'DATA Conservative'!I26*'DATA Conservative'!I67/1000</f>
        <v>157.65452666085187</v>
      </c>
      <c r="F33" s="160">
        <f>'DATA Conservative'!J26*'DATA Conservative'!J67/1000</f>
        <v>160.68149357274024</v>
      </c>
      <c r="G33" s="160">
        <f>'DATA Conservative'!K26*'DATA Conservative'!K67/1000</f>
        <v>167.10875331564986</v>
      </c>
      <c r="H33" s="160">
        <f>'DATA Conservative'!L26*'DATA Conservative'!L67/1000</f>
        <v>173.79310344827587</v>
      </c>
      <c r="I33" s="160">
        <f>'DATA Conservative'!M26*'DATA Conservative'!M67/1000</f>
        <v>182.48275862068968</v>
      </c>
      <c r="J33" s="160">
        <f>'DATA Conservative'!N26*'DATA Conservative'!N67/1000</f>
        <v>191.60689655172413</v>
      </c>
      <c r="K33" s="160">
        <f>'DATA Conservative'!O26*'DATA Conservative'!O67/1000</f>
        <v>201.18724137931036</v>
      </c>
      <c r="L33" s="161">
        <f>'DATA Conservative'!P26*'DATA Conservative'!P67/1000</f>
        <v>211.24660344827592</v>
      </c>
      <c r="M33" s="159">
        <f>'DATA Conservative'!Q26*'DATA Conservative'!Q67/1000</f>
        <v>221.80893362068971</v>
      </c>
      <c r="N33" s="161">
        <f>'DATA Conservative'!R26*'DATA Conservative'!R67/1000</f>
        <v>232.89938030172422</v>
      </c>
      <c r="O33" s="159">
        <f>'DATA Conservative'!S26*'DATA Conservative'!S67/1000</f>
        <v>244.54434931681044</v>
      </c>
      <c r="P33" s="160">
        <f>'DATA Conservative'!T26*'DATA Conservative'!T67/1000</f>
        <v>256.77156678265095</v>
      </c>
      <c r="Q33" s="160">
        <f>'DATA Conservative'!U26*'DATA Conservative'!U67/1000</f>
        <v>269.61014512178355</v>
      </c>
      <c r="R33" s="160">
        <f>'DATA Conservative'!V26*'DATA Conservative'!V67/1000</f>
        <v>283.0906523778727</v>
      </c>
      <c r="S33" s="161">
        <f>'DATA Conservative'!W26*'DATA Conservative'!W67/1000</f>
        <v>297.24518499676634</v>
      </c>
    </row>
    <row r="34" spans="1:19" ht="15" customHeight="1">
      <c r="A34" s="155" t="s">
        <v>325</v>
      </c>
      <c r="B34" s="159">
        <f>'DATA Conservative'!F27*'DATA Conservative'!F68/1000</f>
        <v>201.98008569593298</v>
      </c>
      <c r="C34" s="160">
        <f>'DATA Conservative'!G27*'DATA Conservative'!G68/1000</f>
        <v>197.9404839820143</v>
      </c>
      <c r="D34" s="160">
        <f>'DATA Conservative'!H27*'DATA Conservative'!H68/1000</f>
        <v>193.98167430237405</v>
      </c>
      <c r="E34" s="160">
        <f>'DATA Conservative'!I27*'DATA Conservative'!I68/1000</f>
        <v>190.10204081632654</v>
      </c>
      <c r="F34" s="160">
        <f>'DATA Conservative'!J27*'DATA Conservative'!J68/1000</f>
        <v>186.3</v>
      </c>
      <c r="G34" s="160">
        <f>'DATA Conservative'!K27*'DATA Conservative'!K68/1000</f>
        <v>186.3</v>
      </c>
      <c r="H34" s="160">
        <f>'DATA Conservative'!L27*'DATA Conservative'!L68/1000</f>
        <v>186.3</v>
      </c>
      <c r="I34" s="160">
        <f>'DATA Conservative'!M27*'DATA Conservative'!M68/1000</f>
        <v>186.3</v>
      </c>
      <c r="J34" s="160">
        <f>'DATA Conservative'!N27*'DATA Conservative'!N68/1000</f>
        <v>186.3</v>
      </c>
      <c r="K34" s="160">
        <f>'DATA Conservative'!O27*'DATA Conservative'!O68/1000</f>
        <v>186.3</v>
      </c>
      <c r="L34" s="161">
        <f>'DATA Conservative'!P27*'DATA Conservative'!P68/1000</f>
        <v>186.3</v>
      </c>
      <c r="M34" s="159">
        <f>'DATA Conservative'!Q27*'DATA Conservative'!Q68/1000</f>
        <v>186.3</v>
      </c>
      <c r="N34" s="161">
        <f>'DATA Conservative'!R27*'DATA Conservative'!R68/1000</f>
        <v>186.3</v>
      </c>
      <c r="O34" s="159">
        <f>'DATA Conservative'!S27*'DATA Conservative'!S68/1000</f>
        <v>186.3</v>
      </c>
      <c r="P34" s="160">
        <f>'DATA Conservative'!T27*'DATA Conservative'!T68/1000</f>
        <v>186.3</v>
      </c>
      <c r="Q34" s="160">
        <f>'DATA Conservative'!U27*'DATA Conservative'!U68/1000</f>
        <v>186.3</v>
      </c>
      <c r="R34" s="160">
        <f>'DATA Conservative'!V27*'DATA Conservative'!V68/1000</f>
        <v>186.3</v>
      </c>
      <c r="S34" s="161">
        <f>'DATA Conservative'!W27*'DATA Conservative'!W68/1000</f>
        <v>186.3</v>
      </c>
    </row>
    <row r="35" spans="1:19" ht="15" customHeight="1">
      <c r="A35" s="155" t="s">
        <v>79</v>
      </c>
      <c r="B35" s="159">
        <f>'DATA Conservative'!F28*'DATA Conservative'!F69/1000</f>
        <v>71.95630165991555</v>
      </c>
      <c r="C35" s="160">
        <f>'DATA Conservative'!G28*'DATA Conservative'!G69/1000</f>
        <v>73.39542769311387</v>
      </c>
      <c r="D35" s="160">
        <f>'DATA Conservative'!H28*'DATA Conservative'!H69/1000</f>
        <v>74.86333624697615</v>
      </c>
      <c r="E35" s="160">
        <f>'DATA Conservative'!I28*'DATA Conservative'!I69/1000</f>
        <v>76.36060297191567</v>
      </c>
      <c r="F35" s="160">
        <f>'DATA Conservative'!J28*'DATA Conservative'!J69/1000</f>
        <v>77.887815031354</v>
      </c>
      <c r="G35" s="160">
        <f>'DATA Conservative'!K28*'DATA Conservative'!K69/1000</f>
        <v>79.44557133198106</v>
      </c>
      <c r="H35" s="160">
        <f>'DATA Conservative'!L28*'DATA Conservative'!L69/1000</f>
        <v>81.0344827586207</v>
      </c>
      <c r="I35" s="160">
        <f>'DATA Conservative'!M28*'DATA Conservative'!M69/1000</f>
        <v>82.65517241379311</v>
      </c>
      <c r="J35" s="160">
        <f>'DATA Conservative'!N28*'DATA Conservative'!N69/1000</f>
        <v>84.30827586206897</v>
      </c>
      <c r="K35" s="160">
        <f>'DATA Conservative'!O28*'DATA Conservative'!O69/1000</f>
        <v>85.99444137931035</v>
      </c>
      <c r="L35" s="161">
        <f>'DATA Conservative'!P28*'DATA Conservative'!P69/1000</f>
        <v>87.71433020689658</v>
      </c>
      <c r="M35" s="159">
        <f>'DATA Conservative'!Q28*'DATA Conservative'!Q69/1000</f>
        <v>89.46861681103451</v>
      </c>
      <c r="N35" s="161">
        <f>'DATA Conservative'!R28*'DATA Conservative'!R69/1000</f>
        <v>91.25798914725519</v>
      </c>
      <c r="O35" s="159">
        <f>'DATA Conservative'!S28*'DATA Conservative'!S69/1000</f>
        <v>93.08314893020031</v>
      </c>
      <c r="P35" s="160">
        <f>'DATA Conservative'!T28*'DATA Conservative'!T69/1000</f>
        <v>94.9448119088043</v>
      </c>
      <c r="Q35" s="160">
        <f>'DATA Conservative'!U28*'DATA Conservative'!U69/1000</f>
        <v>96.84370814698039</v>
      </c>
      <c r="R35" s="160">
        <f>'DATA Conservative'!V28*'DATA Conservative'!V69/1000</f>
        <v>98.78058230992002</v>
      </c>
      <c r="S35" s="161">
        <f>'DATA Conservative'!W28*'DATA Conservative'!W69/1000</f>
        <v>100.75619395611841</v>
      </c>
    </row>
    <row r="36" spans="1:19" ht="15" customHeight="1">
      <c r="A36" s="155" t="s">
        <v>81</v>
      </c>
      <c r="B36" s="159">
        <f>'DATA Conservative'!F29*'DATA Conservative'!F70/1000</f>
        <v>54.627149188828994</v>
      </c>
      <c r="C36" s="160">
        <f>'DATA Conservative'!G29*'DATA Conservative'!G70/1000</f>
        <v>57.90477814015874</v>
      </c>
      <c r="D36" s="160">
        <f>'DATA Conservative'!H29*'DATA Conservative'!H70/1000</f>
        <v>61.37906482856827</v>
      </c>
      <c r="E36" s="160">
        <f>'DATA Conservative'!I29*'DATA Conservative'!I70/1000</f>
        <v>65.06180871828238</v>
      </c>
      <c r="F36" s="160">
        <f>'DATA Conservative'!J29*'DATA Conservative'!J70/1000</f>
        <v>68.96551724137932</v>
      </c>
      <c r="G36" s="160">
        <f>'DATA Conservative'!K29*'DATA Conservative'!K70/1000</f>
        <v>72.75862068965517</v>
      </c>
      <c r="H36" s="160">
        <f>'DATA Conservative'!L29*'DATA Conservative'!L70/1000</f>
        <v>76.20689655172414</v>
      </c>
      <c r="I36" s="160">
        <f>'DATA Conservative'!M29*'DATA Conservative'!M70/1000</f>
        <v>76.95372413793105</v>
      </c>
      <c r="J36" s="160">
        <f>'DATA Conservative'!N29*'DATA Conservative'!N70/1000</f>
        <v>77.70787063448277</v>
      </c>
      <c r="K36" s="160">
        <f>'DATA Conservative'!O29*'DATA Conservative'!O70/1000</f>
        <v>78.46940776670071</v>
      </c>
      <c r="L36" s="161">
        <f>'DATA Conservative'!P29*'DATA Conservative'!P70/1000</f>
        <v>79.23840796281436</v>
      </c>
      <c r="M36" s="159">
        <f>'DATA Conservative'!Q29*'DATA Conservative'!Q70/1000</f>
        <v>80.01494436084994</v>
      </c>
      <c r="N36" s="161">
        <f>'DATA Conservative'!R29*'DATA Conservative'!R70/1000</f>
        <v>80.79909081558628</v>
      </c>
      <c r="O36" s="159">
        <f>'DATA Conservative'!S29*'DATA Conservative'!S70/1000</f>
        <v>81.59092190557904</v>
      </c>
      <c r="P36" s="160">
        <f>'DATA Conservative'!T29*'DATA Conservative'!T70/1000</f>
        <v>82.3905129402537</v>
      </c>
      <c r="Q36" s="160">
        <f>'DATA Conservative'!U29*'DATA Conservative'!U70/1000</f>
        <v>83.19793996706818</v>
      </c>
      <c r="R36" s="160">
        <f>'DATA Conservative'!V29*'DATA Conservative'!V70/1000</f>
        <v>84.01327977874544</v>
      </c>
      <c r="S36" s="161">
        <f>'DATA Conservative'!W29*'DATA Conservative'!W70/1000</f>
        <v>84.83660992057716</v>
      </c>
    </row>
    <row r="37" spans="1:19" ht="15" customHeight="1">
      <c r="A37" s="155" t="s">
        <v>326</v>
      </c>
      <c r="B37" s="159">
        <f>'DATA Conservative'!F30*'DATA Conservative'!F71/1000</f>
        <v>175.14009020170656</v>
      </c>
      <c r="C37" s="160">
        <f>'DATA Conservative'!G30*'DATA Conservative'!G71/1000</f>
        <v>208.01388513256694</v>
      </c>
      <c r="D37" s="160">
        <f>'DATA Conservative'!H30*'DATA Conservative'!H71/1000</f>
        <v>247.05809137194976</v>
      </c>
      <c r="E37" s="160">
        <f>'DATA Conservative'!I30*'DATA Conservative'!I71/1000</f>
        <v>293.4308951224648</v>
      </c>
      <c r="F37" s="160">
        <f>'DATA Conservative'!J30*'DATA Conservative'!J71/1000</f>
        <v>348.50787413695144</v>
      </c>
      <c r="G37" s="160">
        <f>'DATA Conservative'!K30*'DATA Conservative'!K71/1000</f>
        <v>370.47219633426533</v>
      </c>
      <c r="H37" s="160">
        <f>'DATA Conservative'!L30*'DATA Conservative'!L71/1000</f>
        <v>401.844827586207</v>
      </c>
      <c r="I37" s="160">
        <f>'DATA Conservative'!M30*'DATA Conservative'!M71/1000</f>
        <v>401.4110344827587</v>
      </c>
      <c r="J37" s="160">
        <f>'DATA Conservative'!N30*'DATA Conservative'!N71/1000</f>
        <v>440.38804593103447</v>
      </c>
      <c r="K37" s="160">
        <f>'DATA Conservative'!O30*'DATA Conservative'!O71/1000</f>
        <v>483.149725190938</v>
      </c>
      <c r="L37" s="161">
        <f>'DATA Conservative'!P30*'DATA Conservative'!P71/1000</f>
        <v>530.0635635069781</v>
      </c>
      <c r="M37" s="159">
        <f>'DATA Conservative'!Q30*'DATA Conservative'!Q71/1000</f>
        <v>581.5327355235056</v>
      </c>
      <c r="N37" s="161">
        <f>'DATA Conservative'!R30*'DATA Conservative'!R71/1000</f>
        <v>637.999564142838</v>
      </c>
      <c r="O37" s="159">
        <f>'DATA Conservative'!S30*'DATA Conservative'!S71/1000</f>
        <v>689.8051287512365</v>
      </c>
      <c r="P37" s="160">
        <f>'DATA Conservative'!T30*'DATA Conservative'!T71/1000</f>
        <v>745.8173052058369</v>
      </c>
      <c r="Q37" s="160">
        <f>'DATA Conservative'!U30*'DATA Conservative'!U71/1000</f>
        <v>806.3776703885509</v>
      </c>
      <c r="R37" s="160">
        <f>'DATA Conservative'!V30*'DATA Conservative'!V71/1000</f>
        <v>871.8555372241012</v>
      </c>
      <c r="S37" s="161">
        <f>'DATA Conservative'!W30*'DATA Conservative'!W71/1000</f>
        <v>942.6502068466984</v>
      </c>
    </row>
    <row r="38" spans="1:21" ht="15" customHeight="1">
      <c r="A38" s="155" t="s">
        <v>84</v>
      </c>
      <c r="B38" s="159">
        <f>'DATA Conservative'!F31*'DATA Conservative'!F72/1000</f>
        <v>79.77824074039454</v>
      </c>
      <c r="C38" s="160">
        <f>'DATA Conservative'!G31*'DATA Conservative'!G72/1000</f>
        <v>82.49070092556796</v>
      </c>
      <c r="D38" s="160">
        <f>'DATA Conservative'!H31*'DATA Conservative'!H72/1000</f>
        <v>85.29538475703725</v>
      </c>
      <c r="E38" s="160">
        <f>'DATA Conservative'!I31*'DATA Conservative'!I72/1000</f>
        <v>88.19542783877654</v>
      </c>
      <c r="F38" s="160">
        <f>'DATA Conservative'!J31*'DATA Conservative'!J72/1000</f>
        <v>91.19407238529494</v>
      </c>
      <c r="G38" s="160">
        <f>'DATA Conservative'!K31*'DATA Conservative'!K72/1000</f>
        <v>94.04388714733541</v>
      </c>
      <c r="H38" s="160">
        <f>'DATA Conservative'!L31*'DATA Conservative'!L72/1000</f>
        <v>100</v>
      </c>
      <c r="I38" s="160">
        <f>'DATA Conservative'!M31*'DATA Conservative'!M72/1000</f>
        <v>101.85000000000001</v>
      </c>
      <c r="J38" s="160">
        <f>'DATA Conservative'!N31*'DATA Conservative'!N72/1000</f>
        <v>103.73422500000001</v>
      </c>
      <c r="K38" s="160">
        <f>'DATA Conservative'!O31*'DATA Conservative'!O72/1000</f>
        <v>105.65330816250001</v>
      </c>
      <c r="L38" s="161">
        <f>'DATA Conservative'!P31*'DATA Conservative'!P72/1000</f>
        <v>107.60789436350626</v>
      </c>
      <c r="M38" s="159">
        <f>'DATA Conservative'!Q31*'DATA Conservative'!Q72/1000</f>
        <v>109.59864040923112</v>
      </c>
      <c r="N38" s="161">
        <f>'DATA Conservative'!R31*'DATA Conservative'!R72/1000</f>
        <v>111.62621525680191</v>
      </c>
      <c r="O38" s="159">
        <f>'DATA Conservative'!S31*'DATA Conservative'!S72/1000</f>
        <v>113.69130023905274</v>
      </c>
      <c r="P38" s="160">
        <f>'DATA Conservative'!T31*'DATA Conservative'!T72/1000</f>
        <v>115.7945892934752</v>
      </c>
      <c r="Q38" s="160">
        <f>'DATA Conservative'!U31*'DATA Conservative'!U72/1000</f>
        <v>117.93678919540449</v>
      </c>
      <c r="R38" s="160">
        <f>'DATA Conservative'!V31*'DATA Conservative'!V72/1000</f>
        <v>120.11861979551949</v>
      </c>
      <c r="S38" s="161">
        <f>'DATA Conservative'!W31*'DATA Conservative'!W72/1000</f>
        <v>122.3408142617366</v>
      </c>
      <c r="U38" s="143"/>
    </row>
    <row r="39" spans="1:21" ht="15" customHeight="1">
      <c r="A39" s="155" t="s">
        <v>86</v>
      </c>
      <c r="B39" s="159">
        <f>'DATA Conservative'!F32*'DATA Conservative'!F73/1000</f>
        <v>57.50045926766826</v>
      </c>
      <c r="C39" s="160">
        <f>'DATA Conservative'!G32*'DATA Conservative'!G73/1000</f>
        <v>50.60040415554807</v>
      </c>
      <c r="D39" s="160">
        <f>'DATA Conservative'!H32*'DATA Conservative'!H73/1000</f>
        <v>44.5283556568823</v>
      </c>
      <c r="E39" s="160">
        <f>'DATA Conservative'!I32*'DATA Conservative'!I73/1000</f>
        <v>39.18495297805643</v>
      </c>
      <c r="F39" s="160">
        <f>'DATA Conservative'!J32*'DATA Conservative'!J73/1000</f>
        <v>34.48275862068966</v>
      </c>
      <c r="G39" s="160">
        <f>'DATA Conservative'!K32*'DATA Conservative'!K73/1000</f>
        <v>33.58620689655172</v>
      </c>
      <c r="H39" s="160">
        <f>'DATA Conservative'!L32*'DATA Conservative'!L73/1000</f>
        <v>28.896551724137936</v>
      </c>
      <c r="I39" s="160">
        <f>'DATA Conservative'!M32*'DATA Conservative'!M73/1000</f>
        <v>24.85103448275862</v>
      </c>
      <c r="J39" s="160">
        <f>'DATA Conservative'!N32*'DATA Conservative'!N73/1000</f>
        <v>21.371889655172414</v>
      </c>
      <c r="K39" s="160">
        <f>'DATA Conservative'!O32*'DATA Conservative'!O73/1000</f>
        <v>18.379825103448276</v>
      </c>
      <c r="L39" s="161">
        <f>'DATA Conservative'!P32*'DATA Conservative'!P73/1000</f>
        <v>15.806649588965517</v>
      </c>
      <c r="M39" s="159">
        <f>'DATA Conservative'!Q32*'DATA Conservative'!Q73/1000</f>
        <v>13.593718646510343</v>
      </c>
      <c r="N39" s="161">
        <f>'DATA Conservative'!R32*'DATA Conservative'!R73/1000</f>
        <v>11.690598035998894</v>
      </c>
      <c r="O39" s="159">
        <f>'DATA Conservative'!S32*'DATA Conservative'!S73/1000</f>
        <v>10.05391431095905</v>
      </c>
      <c r="P39" s="160">
        <f>'DATA Conservative'!T32*'DATA Conservative'!T73/1000</f>
        <v>8.646366307424781</v>
      </c>
      <c r="Q39" s="160">
        <f>'DATA Conservative'!U32*'DATA Conservative'!U73/1000</f>
        <v>7.435875024385312</v>
      </c>
      <c r="R39" s="160">
        <f>'DATA Conservative'!V32*'DATA Conservative'!V73/1000</f>
        <v>6.394852520971368</v>
      </c>
      <c r="S39" s="161">
        <f>'DATA Conservative'!W32*'DATA Conservative'!W73/1000</f>
        <v>5.499573168035376</v>
      </c>
      <c r="U39" s="143"/>
    </row>
    <row r="40" spans="1:21" ht="15" customHeight="1">
      <c r="A40" s="155" t="s">
        <v>88</v>
      </c>
      <c r="B40" s="159">
        <f>'DATA Conservative'!F33*'DATA Conservative'!F74/1000</f>
        <v>1.770623891806305</v>
      </c>
      <c r="C40" s="160">
        <f>'DATA Conservative'!G33*'DATA Conservative'!G74/1000</f>
        <v>2.2867607562678427</v>
      </c>
      <c r="D40" s="160">
        <f>'DATA Conservative'!H33*'DATA Conservative'!H74/1000</f>
        <v>2.953351516719919</v>
      </c>
      <c r="E40" s="160">
        <f>'DATA Conservative'!I33*'DATA Conservative'!I74/1000</f>
        <v>3.814253483843775</v>
      </c>
      <c r="F40" s="160">
        <f>'DATA Conservative'!J33*'DATA Conservative'!J74/1000</f>
        <v>4.926108374384237</v>
      </c>
      <c r="G40" s="160">
        <f>'DATA Conservative'!K33*'DATA Conservative'!K74/1000</f>
        <v>5.9113300492610845</v>
      </c>
      <c r="H40" s="160">
        <f>'DATA Conservative'!L33*'DATA Conservative'!L74/1000</f>
        <v>7.241379310344828</v>
      </c>
      <c r="I40" s="160">
        <f>'DATA Conservative'!M33*'DATA Conservative'!M74/1000</f>
        <v>9.276206896551725</v>
      </c>
      <c r="J40" s="160">
        <f>'DATA Conservative'!N33*'DATA Conservative'!N74/1000</f>
        <v>11.882821034482758</v>
      </c>
      <c r="K40" s="160">
        <f>'DATA Conservative'!O33*'DATA Conservative'!O74/1000</f>
        <v>15.221893745172414</v>
      </c>
      <c r="L40" s="161">
        <f>'DATA Conservative'!P33*'DATA Conservative'!P74/1000</f>
        <v>19.499245887565863</v>
      </c>
      <c r="M40" s="159">
        <f>'DATA Conservative'!Q33*'DATA Conservative'!Q74/1000</f>
        <v>24.978533981971868</v>
      </c>
      <c r="N40" s="161">
        <f>'DATA Conservative'!R33*'DATA Conservative'!R74/1000</f>
        <v>31.997502030905967</v>
      </c>
      <c r="O40" s="159">
        <f>'DATA Conservative'!S33*'DATA Conservative'!S74/1000</f>
        <v>40.98880010159055</v>
      </c>
      <c r="P40" s="160">
        <f>'DATA Conservative'!T33*'DATA Conservative'!T74/1000</f>
        <v>52.50665293013749</v>
      </c>
      <c r="Q40" s="160">
        <f>'DATA Conservative'!U33*'DATA Conservative'!U74/1000</f>
        <v>67.26102240350613</v>
      </c>
      <c r="R40" s="160">
        <f>'DATA Conservative'!V33*'DATA Conservative'!V74/1000</f>
        <v>86.16136969889133</v>
      </c>
      <c r="S40" s="161">
        <f>'DATA Conservative'!W33*'DATA Conservative'!W74/1000</f>
        <v>110.37271458427979</v>
      </c>
      <c r="U40" s="143"/>
    </row>
    <row r="41" spans="1:21" ht="15" customHeight="1">
      <c r="A41" s="155" t="s">
        <v>90</v>
      </c>
      <c r="B41" s="159">
        <f>'DATA Conservative'!F34*'DATA Conservative'!F75/1000</f>
        <v>422.22649968022523</v>
      </c>
      <c r="C41" s="160">
        <f>'DATA Conservative'!G34*'DATA Conservative'!G75/1000</f>
        <v>464.4491496482477</v>
      </c>
      <c r="D41" s="160">
        <f>'DATA Conservative'!H34*'DATA Conservative'!H75/1000</f>
        <v>510.8940646130726</v>
      </c>
      <c r="E41" s="160">
        <f>'DATA Conservative'!I34*'DATA Conservative'!I75/1000</f>
        <v>561.98347107438</v>
      </c>
      <c r="F41" s="160">
        <f>'DATA Conservative'!J34*'DATA Conservative'!J75/1000</f>
        <v>618.181818181818</v>
      </c>
      <c r="G41" s="160">
        <f>'DATA Conservative'!K34*'DATA Conservative'!K75/1000</f>
        <v>695.4545454545454</v>
      </c>
      <c r="H41" s="160">
        <f>'DATA Conservative'!L34*'DATA Conservative'!L75/1000</f>
        <v>782</v>
      </c>
      <c r="I41" s="160">
        <f>'DATA Conservative'!M34*'DATA Conservative'!M75/1000</f>
        <v>844.5600000000002</v>
      </c>
      <c r="J41" s="160">
        <f>'DATA Conservative'!N34*'DATA Conservative'!N75/1000</f>
        <v>912.1248000000002</v>
      </c>
      <c r="K41" s="160">
        <f>'DATA Conservative'!O34*'DATA Conservative'!O75/1000</f>
        <v>985.0947840000002</v>
      </c>
      <c r="L41" s="161">
        <f>'DATA Conservative'!P34*'DATA Conservative'!P75/1000</f>
        <v>1063.9023667200006</v>
      </c>
      <c r="M41" s="159">
        <f>'DATA Conservative'!Q34*'DATA Conservative'!Q75/1000</f>
        <v>1149.0145560576004</v>
      </c>
      <c r="N41" s="161">
        <f>'DATA Conservative'!R34*'DATA Conservative'!R75/1000</f>
        <v>1240.9357205422086</v>
      </c>
      <c r="O41" s="159">
        <f>'DATA Conservative'!S34*'DATA Conservative'!S75/1000</f>
        <v>1340.2105781855855</v>
      </c>
      <c r="P41" s="160">
        <f>'DATA Conservative'!T34*'DATA Conservative'!T75/1000</f>
        <v>1447.4274244404323</v>
      </c>
      <c r="Q41" s="160">
        <f>'DATA Conservative'!U34*'DATA Conservative'!U75/1000</f>
        <v>1563.221618395667</v>
      </c>
      <c r="R41" s="160">
        <f>'DATA Conservative'!V34*'DATA Conservative'!V75/1000</f>
        <v>1688.2793478673204</v>
      </c>
      <c r="S41" s="161">
        <f>'DATA Conservative'!W34*'DATA Conservative'!W75/1000</f>
        <v>1823.3416956967064</v>
      </c>
      <c r="U41" s="143"/>
    </row>
    <row r="42" spans="1:21" ht="15" customHeight="1">
      <c r="A42" s="155" t="s">
        <v>92</v>
      </c>
      <c r="B42" s="159">
        <f>'DATA Conservative'!F35*'DATA Conservative'!F76/1000</f>
        <v>29.29957485611239</v>
      </c>
      <c r="C42" s="160">
        <f>'DATA Conservative'!G35*'DATA Conservative'!G76/1000</f>
        <v>32.815523838845884</v>
      </c>
      <c r="D42" s="160">
        <f>'DATA Conservative'!H35*'DATA Conservative'!H76/1000</f>
        <v>36.75338669950739</v>
      </c>
      <c r="E42" s="160">
        <f>'DATA Conservative'!I35*'DATA Conservative'!I76/1000</f>
        <v>41.16379310344828</v>
      </c>
      <c r="F42" s="160">
        <f>'DATA Conservative'!J35*'DATA Conservative'!J76/1000</f>
        <v>46.10344827586207</v>
      </c>
      <c r="G42" s="160">
        <f>'DATA Conservative'!K35*'DATA Conservative'!K76/1000</f>
        <v>51.724137931034484</v>
      </c>
      <c r="H42" s="160">
        <f>'DATA Conservative'!L35*'DATA Conservative'!L76/1000</f>
        <v>57.93103448275863</v>
      </c>
      <c r="I42" s="160">
        <f>'DATA Conservative'!M35*'DATA Conservative'!M76/1000</f>
        <v>60.24827586206898</v>
      </c>
      <c r="J42" s="160">
        <f>'DATA Conservative'!N35*'DATA Conservative'!N76/1000</f>
        <v>62.65820689655175</v>
      </c>
      <c r="K42" s="160">
        <f>'DATA Conservative'!O35*'DATA Conservative'!O76/1000</f>
        <v>65.16453517241382</v>
      </c>
      <c r="L42" s="161">
        <f>'DATA Conservative'!P35*'DATA Conservative'!P76/1000</f>
        <v>67.77111657931037</v>
      </c>
      <c r="M42" s="159">
        <f>'DATA Conservative'!Q35*'DATA Conservative'!Q76/1000</f>
        <v>70.4819612424828</v>
      </c>
      <c r="N42" s="161">
        <f>'DATA Conservative'!R35*'DATA Conservative'!R76/1000</f>
        <v>73.3012396921821</v>
      </c>
      <c r="O42" s="159">
        <f>'DATA Conservative'!S35*'DATA Conservative'!S76/1000</f>
        <v>76.23328927986938</v>
      </c>
      <c r="P42" s="160">
        <f>'DATA Conservative'!T35*'DATA Conservative'!T76/1000</f>
        <v>79.28262085106415</v>
      </c>
      <c r="Q42" s="160">
        <f>'DATA Conservative'!U35*'DATA Conservative'!U76/1000</f>
        <v>82.45392568510674</v>
      </c>
      <c r="R42" s="160">
        <f>'DATA Conservative'!V35*'DATA Conservative'!V76/1000</f>
        <v>85.75208271251101</v>
      </c>
      <c r="S42" s="161">
        <f>'DATA Conservative'!W35*'DATA Conservative'!W76/1000</f>
        <v>89.18216602101145</v>
      </c>
      <c r="U42" s="143"/>
    </row>
    <row r="43" spans="1:21" ht="15" customHeight="1">
      <c r="A43" s="155" t="s">
        <v>94</v>
      </c>
      <c r="B43" s="159">
        <f>'DATA Conservative'!F36*'DATA Conservative'!F77/1000</f>
        <v>15.344205121129932</v>
      </c>
      <c r="C43" s="160">
        <f>'DATA Conservative'!G36*'DATA Conservative'!G77/1000</f>
        <v>15.497647172341232</v>
      </c>
      <c r="D43" s="160">
        <f>'DATA Conservative'!H36*'DATA Conservative'!H77/1000</f>
        <v>15.652623644064644</v>
      </c>
      <c r="E43" s="160">
        <f>'DATA Conservative'!I36*'DATA Conservative'!I77/1000</f>
        <v>15.809149880505291</v>
      </c>
      <c r="F43" s="160">
        <f>'DATA Conservative'!J36*'DATA Conservative'!J77/1000</f>
        <v>15.967241379310344</v>
      </c>
      <c r="G43" s="160">
        <f>'DATA Conservative'!K36*'DATA Conservative'!K77/1000</f>
        <v>17.379310344827587</v>
      </c>
      <c r="H43" s="160">
        <f>'DATA Conservative'!L36*'DATA Conservative'!L77/1000</f>
        <v>15.310344827586206</v>
      </c>
      <c r="I43" s="160">
        <f>'DATA Conservative'!M36*'DATA Conservative'!M77/1000</f>
        <v>16.075862068965517</v>
      </c>
      <c r="J43" s="160">
        <f>'DATA Conservative'!N36*'DATA Conservative'!N77/1000</f>
        <v>16.879655172413795</v>
      </c>
      <c r="K43" s="160">
        <f>'DATA Conservative'!O36*'DATA Conservative'!O77/1000</f>
        <v>17.723637931034485</v>
      </c>
      <c r="L43" s="161">
        <f>'DATA Conservative'!P36*'DATA Conservative'!P77/1000</f>
        <v>18.609819827586207</v>
      </c>
      <c r="M43" s="159">
        <f>'DATA Conservative'!Q36*'DATA Conservative'!Q77/1000</f>
        <v>19.540310818965523</v>
      </c>
      <c r="N43" s="161">
        <f>'DATA Conservative'!R36*'DATA Conservative'!R77/1000</f>
        <v>20.517326359913802</v>
      </c>
      <c r="O43" s="159">
        <f>'DATA Conservative'!S36*'DATA Conservative'!S77/1000</f>
        <v>21.54319267790949</v>
      </c>
      <c r="P43" s="160">
        <f>'DATA Conservative'!T36*'DATA Conservative'!T77/1000</f>
        <v>22.620352311804965</v>
      </c>
      <c r="Q43" s="160">
        <f>'DATA Conservative'!U36*'DATA Conservative'!U77/1000</f>
        <v>23.751369927395213</v>
      </c>
      <c r="R43" s="160">
        <f>'DATA Conservative'!V36*'DATA Conservative'!V77/1000</f>
        <v>24.93893842376498</v>
      </c>
      <c r="S43" s="161">
        <f>'DATA Conservative'!W36*'DATA Conservative'!W77/1000</f>
        <v>26.185885344953228</v>
      </c>
      <c r="U43" s="143"/>
    </row>
    <row r="44" spans="1:21" ht="15" customHeight="1">
      <c r="A44" s="155" t="s">
        <v>96</v>
      </c>
      <c r="B44" s="159">
        <f>'DATA Conservative'!F37*'DATA Conservative'!F78/1000</f>
        <v>28.965517241379313</v>
      </c>
      <c r="C44" s="160">
        <f>'DATA Conservative'!G37*'DATA Conservative'!G78/1000</f>
        <v>28.965517241379313</v>
      </c>
      <c r="D44" s="160">
        <f>'DATA Conservative'!H37*'DATA Conservative'!H78/1000</f>
        <v>28.965517241379313</v>
      </c>
      <c r="E44" s="160">
        <f>'DATA Conservative'!I37*'DATA Conservative'!I78/1000</f>
        <v>28.965517241379313</v>
      </c>
      <c r="F44" s="160">
        <f>'DATA Conservative'!J37*'DATA Conservative'!J78/1000</f>
        <v>28.965517241379313</v>
      </c>
      <c r="G44" s="160">
        <f>'DATA Conservative'!K37*'DATA Conservative'!K78/1000</f>
        <v>28.965517241379313</v>
      </c>
      <c r="H44" s="160">
        <f>'DATA Conservative'!L37*'DATA Conservative'!L78/1000</f>
        <v>28.965517241379313</v>
      </c>
      <c r="I44" s="160">
        <f>'DATA Conservative'!M37*'DATA Conservative'!M78/1000</f>
        <v>28.965517241379313</v>
      </c>
      <c r="J44" s="160">
        <f>'DATA Conservative'!N37*'DATA Conservative'!N78/1000</f>
        <v>28.965517241379313</v>
      </c>
      <c r="K44" s="160">
        <f>'DATA Conservative'!O37*'DATA Conservative'!O78/1000</f>
        <v>28.965517241379313</v>
      </c>
      <c r="L44" s="161">
        <f>'DATA Conservative'!P37*'DATA Conservative'!P78/1000</f>
        <v>28.965517241379313</v>
      </c>
      <c r="M44" s="159">
        <f>'DATA Conservative'!Q37*'DATA Conservative'!Q78/1000</f>
        <v>28.965517241379313</v>
      </c>
      <c r="N44" s="161">
        <f>'DATA Conservative'!R37*'DATA Conservative'!R78/1000</f>
        <v>28.965517241379313</v>
      </c>
      <c r="O44" s="159">
        <f>'DATA Conservative'!S37*'DATA Conservative'!S78/1000</f>
        <v>28.965517241379313</v>
      </c>
      <c r="P44" s="160">
        <f>'DATA Conservative'!T37*'DATA Conservative'!T78/1000</f>
        <v>28.965517241379313</v>
      </c>
      <c r="Q44" s="160">
        <f>'DATA Conservative'!U37*'DATA Conservative'!U78/1000</f>
        <v>28.965517241379313</v>
      </c>
      <c r="R44" s="160">
        <f>'DATA Conservative'!V37*'DATA Conservative'!V78/1000</f>
        <v>28.965517241379313</v>
      </c>
      <c r="S44" s="161">
        <f>'DATA Conservative'!W37*'DATA Conservative'!W78/1000</f>
        <v>28.965517241379313</v>
      </c>
      <c r="U44" s="143"/>
    </row>
    <row r="45" spans="1:21" ht="15" customHeight="1">
      <c r="A45" s="155" t="s">
        <v>5</v>
      </c>
      <c r="B45" s="159">
        <f>'DATA Conservative'!F38*'DATA Conservative'!F79/1000</f>
        <v>0</v>
      </c>
      <c r="C45" s="160">
        <f>'DATA Conservative'!G38*'DATA Conservative'!G79/1000</f>
        <v>0</v>
      </c>
      <c r="D45" s="160">
        <f>'DATA Conservative'!H38*'DATA Conservative'!H79/1000</f>
        <v>0</v>
      </c>
      <c r="E45" s="160">
        <f>'DATA Conservative'!I38*'DATA Conservative'!I79/1000</f>
        <v>0</v>
      </c>
      <c r="F45" s="160">
        <f>'DATA Conservative'!J38*'DATA Conservative'!J79/1000</f>
        <v>0.3380331204851451</v>
      </c>
      <c r="G45" s="160">
        <f>'DATA Conservative'!K38*'DATA Conservative'!K79/1000</f>
        <v>0.6828269033799932</v>
      </c>
      <c r="H45" s="160">
        <f>'DATA Conservative'!L38*'DATA Conservative'!L79/1000</f>
        <v>1.0344827586206897</v>
      </c>
      <c r="I45" s="160">
        <f>'DATA Conservative'!M38*'DATA Conservative'!M79/1000</f>
        <v>1.7966896551724139</v>
      </c>
      <c r="J45" s="160">
        <f>'DATA Conservative'!N38*'DATA Conservative'!N79/1000</f>
        <v>3.120490593103449</v>
      </c>
      <c r="K45" s="160">
        <f>'DATA Conservative'!O38*'DATA Conservative'!O79/1000</f>
        <v>5.41966806210207</v>
      </c>
      <c r="L45" s="161">
        <f>'DATA Conservative'!P38*'DATA Conservative'!P79/1000</f>
        <v>9.412879490258874</v>
      </c>
      <c r="M45" s="159">
        <f>'DATA Conservative'!Q38*'DATA Conservative'!Q79/1000</f>
        <v>16.34828909868161</v>
      </c>
      <c r="N45" s="161">
        <f>'DATA Conservative'!R38*'DATA Conservative'!R79/1000</f>
        <v>28.393708506590226</v>
      </c>
      <c r="O45" s="159">
        <f>'DATA Conservative'!S38*'DATA Conservative'!S79/1000</f>
        <v>38.388293900909986</v>
      </c>
      <c r="P45" s="160">
        <f>'DATA Conservative'!T38*'DATA Conservative'!T79/1000</f>
        <v>51.90097335403031</v>
      </c>
      <c r="Q45" s="160">
        <f>'DATA Conservative'!U38*'DATA Conservative'!U79/1000</f>
        <v>70.170115974649</v>
      </c>
      <c r="R45" s="160">
        <f>'DATA Conservative'!V38*'DATA Conservative'!V79/1000</f>
        <v>94.86999679772545</v>
      </c>
      <c r="S45" s="161">
        <f>'DATA Conservative'!W38*'DATA Conservative'!W79/1000</f>
        <v>128.2642356705248</v>
      </c>
      <c r="T45" s="143"/>
      <c r="U45" s="341"/>
    </row>
    <row r="46" spans="1:21" ht="15" customHeight="1">
      <c r="A46" s="155" t="s">
        <v>33</v>
      </c>
      <c r="B46" s="159">
        <f>'DATA Conservative'!F39*'DATA Conservative'!F80/1000</f>
        <v>0</v>
      </c>
      <c r="C46" s="160">
        <f>'DATA Conservative'!G39*'DATA Conservative'!G80/1000</f>
        <v>0</v>
      </c>
      <c r="D46" s="160">
        <f>'DATA Conservative'!H39*'DATA Conservative'!H80/1000</f>
        <v>0</v>
      </c>
      <c r="E46" s="160">
        <f>'DATA Conservative'!I39*'DATA Conservative'!I80/1000</f>
        <v>0</v>
      </c>
      <c r="F46" s="160">
        <f>'DATA Conservative'!J39*'DATA Conservative'!J80/1000</f>
        <v>20.802116615365616</v>
      </c>
      <c r="G46" s="160">
        <f>'DATA Conservative'!K39*'DATA Conservative'!K80/1000</f>
        <v>33.47840642785404</v>
      </c>
      <c r="H46" s="160">
        <f>'DATA Conservative'!L39*'DATA Conservative'!L80/1000</f>
        <v>38.62068965517242</v>
      </c>
      <c r="I46" s="160">
        <f>'DATA Conservative'!M39*'DATA Conservative'!M80/1000</f>
        <v>47.79696551724138</v>
      </c>
      <c r="J46" s="160">
        <f>'DATA Conservative'!N39*'DATA Conservative'!N80/1000</f>
        <v>59.15352452413793</v>
      </c>
      <c r="K46" s="160">
        <f>'DATA Conservative'!O39*'DATA Conservative'!O80/1000</f>
        <v>73.2084019510731</v>
      </c>
      <c r="L46" s="161">
        <f>'DATA Conservative'!P39*'DATA Conservative'!P80/1000</f>
        <v>90.60271825464808</v>
      </c>
      <c r="M46" s="159">
        <f>'DATA Conservative'!Q39*'DATA Conservative'!Q80/1000</f>
        <v>112.12992411195245</v>
      </c>
      <c r="N46" s="161">
        <f>'DATA Conservative'!R39*'DATA Conservative'!R80/1000</f>
        <v>138.77199408095234</v>
      </c>
      <c r="O46" s="159">
        <f>'DATA Conservative'!S39*'DATA Conservative'!S80/1000</f>
        <v>171.74421987458666</v>
      </c>
      <c r="P46" s="160">
        <f>'DATA Conservative'!T39*'DATA Conservative'!T80/1000</f>
        <v>212.55064651678842</v>
      </c>
      <c r="Q46" s="160">
        <f>'DATA Conservative'!U39*'DATA Conservative'!U80/1000</f>
        <v>263.0526801291774</v>
      </c>
      <c r="R46" s="160">
        <f>'DATA Conservative'!V39*'DATA Conservative'!V80/1000</f>
        <v>325.5539969278699</v>
      </c>
      <c r="S46" s="161">
        <f>'DATA Conservative'!W39*'DATA Conservative'!W80/1000</f>
        <v>402.9056265979318</v>
      </c>
      <c r="T46" s="143"/>
      <c r="U46" s="341"/>
    </row>
    <row r="47" spans="1:21" ht="15" customHeight="1">
      <c r="A47" s="155" t="s">
        <v>101</v>
      </c>
      <c r="B47" s="159">
        <f>'DATA Conservative'!F40*'DATA Conservative'!F81/1000</f>
        <v>0</v>
      </c>
      <c r="C47" s="160">
        <f>'DATA Conservative'!G40*'DATA Conservative'!G81/1000</f>
        <v>6.958601034283633</v>
      </c>
      <c r="D47" s="160">
        <f>'DATA Conservative'!H40*'DATA Conservative'!H81/1000</f>
        <v>8.266818028728956</v>
      </c>
      <c r="E47" s="160">
        <f>'DATA Conservative'!I40*'DATA Conservative'!I81/1000</f>
        <v>10.103888701779837</v>
      </c>
      <c r="F47" s="160">
        <f>'DATA Conservative'!J40*'DATA Conservative'!J81/1000</f>
        <v>11.855229410088345</v>
      </c>
      <c r="G47" s="160">
        <f>'DATA Conservative'!K40*'DATA Conservative'!K81/1000</f>
        <v>14.26332288401254</v>
      </c>
      <c r="H47" s="160">
        <f>'DATA Conservative'!L40*'DATA Conservative'!L81/1000</f>
        <v>17.03448275862069</v>
      </c>
      <c r="I47" s="160">
        <f>'DATA Conservative'!M40*'DATA Conservative'!M81/1000</f>
        <v>20.236965517241384</v>
      </c>
      <c r="J47" s="160">
        <f>'DATA Conservative'!N40*'DATA Conservative'!N81/1000</f>
        <v>24.041515034482767</v>
      </c>
      <c r="K47" s="160">
        <f>'DATA Conservative'!O40*'DATA Conservative'!O81/1000</f>
        <v>28.561319860965533</v>
      </c>
      <c r="L47" s="161">
        <f>'DATA Conservative'!P40*'DATA Conservative'!P81/1000</f>
        <v>33.930847994827054</v>
      </c>
      <c r="M47" s="159">
        <f>'DATA Conservative'!Q40*'DATA Conservative'!Q81/1000</f>
        <v>40.30984741785454</v>
      </c>
      <c r="N47" s="161">
        <f>'DATA Conservative'!R40*'DATA Conservative'!R81/1000</f>
        <v>47.88809873241121</v>
      </c>
      <c r="O47" s="159">
        <f>'DATA Conservative'!S40*'DATA Conservative'!S81/1000</f>
        <v>56.891061294104524</v>
      </c>
      <c r="P47" s="160">
        <f>'DATA Conservative'!T40*'DATA Conservative'!T81/1000</f>
        <v>67.58658081739618</v>
      </c>
      <c r="Q47" s="160">
        <f>'DATA Conservative'!U40*'DATA Conservative'!U81/1000</f>
        <v>80.29285801106668</v>
      </c>
      <c r="R47" s="160">
        <f>'DATA Conservative'!V40*'DATA Conservative'!V81/1000</f>
        <v>95.38791531714725</v>
      </c>
      <c r="S47" s="161">
        <f>'DATA Conservative'!W40*'DATA Conservative'!W81/1000</f>
        <v>113.32084339677094</v>
      </c>
      <c r="T47" s="143"/>
      <c r="U47" s="341"/>
    </row>
    <row r="48" spans="1:21" ht="15" customHeight="1">
      <c r="A48" s="155" t="s">
        <v>16</v>
      </c>
      <c r="B48" s="159">
        <f>'DATA Conservative'!F41*'DATA Conservative'!F82/1000</f>
        <v>0</v>
      </c>
      <c r="C48" s="160">
        <f>'DATA Conservative'!G41*'DATA Conservative'!G82/1000</f>
        <v>0.14872565248002828</v>
      </c>
      <c r="D48" s="160">
        <f>'DATA Conservative'!H41*'DATA Conservative'!H82/1000</f>
        <v>0.4595622661632874</v>
      </c>
      <c r="E48" s="160">
        <f>'DATA Conservative'!I41*'DATA Conservative'!I82/1000</f>
        <v>0.7889152235803101</v>
      </c>
      <c r="F48" s="160">
        <f>'DATA Conservative'!J41*'DATA Conservative'!J82/1000</f>
        <v>1.6251653605754386</v>
      </c>
      <c r="G48" s="160">
        <f>'DATA Conservative'!K41*'DATA Conservative'!K82/1000</f>
        <v>2.678272514228323</v>
      </c>
      <c r="H48" s="160">
        <f>'DATA Conservative'!L41*'DATA Conservative'!L82/1000</f>
        <v>4.310344827586207</v>
      </c>
      <c r="I48" s="160">
        <f>'DATA Conservative'!M41*'DATA Conservative'!M82/1000</f>
        <v>5.593965517241379</v>
      </c>
      <c r="J48" s="160">
        <f>'DATA Conservative'!N41*'DATA Conservative'!N82/1000</f>
        <v>7.259848448275863</v>
      </c>
      <c r="K48" s="160">
        <f>'DATA Conservative'!O41*'DATA Conservative'!O82/1000</f>
        <v>9.421831316172417</v>
      </c>
      <c r="L48" s="161">
        <f>'DATA Conservative'!P41*'DATA Conservative'!P82/1000</f>
        <v>12.22765268212856</v>
      </c>
      <c r="M48" s="159">
        <f>'DATA Conservative'!Q41*'DATA Conservative'!Q82/1000</f>
        <v>15.869047650866447</v>
      </c>
      <c r="N48" s="161">
        <f>'DATA Conservative'!R41*'DATA Conservative'!R82/1000</f>
        <v>20.594850041294478</v>
      </c>
      <c r="O48" s="159">
        <f>'DATA Conservative'!S41*'DATA Conservative'!S82/1000</f>
        <v>26.727996383591975</v>
      </c>
      <c r="P48" s="160">
        <f>'DATA Conservative'!T41*'DATA Conservative'!T82/1000</f>
        <v>34.68759370662567</v>
      </c>
      <c r="Q48" s="160">
        <f>'DATA Conservative'!U41*'DATA Conservative'!U82/1000</f>
        <v>45.01755911245879</v>
      </c>
      <c r="R48" s="160">
        <f>'DATA Conservative'!V41*'DATA Conservative'!V82/1000</f>
        <v>58.42378821614902</v>
      </c>
      <c r="S48" s="161">
        <f>'DATA Conservative'!W41*'DATA Conservative'!W82/1000</f>
        <v>75.8223923469182</v>
      </c>
      <c r="T48" s="143"/>
      <c r="U48" s="341"/>
    </row>
    <row r="49" spans="1:21" ht="15" customHeight="1">
      <c r="A49" s="272" t="s">
        <v>172</v>
      </c>
      <c r="B49" s="162">
        <f>0.15*(B88+B89+B90)</f>
        <v>40.51548109953704</v>
      </c>
      <c r="C49" s="163">
        <f aca="true" t="shared" si="6" ref="C49:S49">0.15*(C88+C89+C90)</f>
        <v>38.49362291666666</v>
      </c>
      <c r="D49" s="163">
        <f t="shared" si="6"/>
        <v>43.130788321720985</v>
      </c>
      <c r="E49" s="163">
        <f t="shared" si="6"/>
        <v>41.782147499999994</v>
      </c>
      <c r="F49" s="163">
        <f t="shared" si="6"/>
        <v>43.548458333333336</v>
      </c>
      <c r="G49" s="163">
        <f t="shared" si="6"/>
        <v>48.48806</v>
      </c>
      <c r="H49" s="364">
        <f t="shared" si="6"/>
        <v>52.402129949999996</v>
      </c>
      <c r="I49" s="163">
        <f t="shared" si="6"/>
        <v>54.651871574910004</v>
      </c>
      <c r="J49" s="163">
        <f t="shared" si="6"/>
        <v>57.299062778467054</v>
      </c>
      <c r="K49" s="163">
        <f t="shared" si="6"/>
        <v>60.36087885090556</v>
      </c>
      <c r="L49" s="164">
        <f t="shared" si="6"/>
        <v>63.858254958289734</v>
      </c>
      <c r="M49" s="162">
        <f t="shared" si="6"/>
        <v>67.81602856529967</v>
      </c>
      <c r="N49" s="164">
        <f t="shared" si="6"/>
        <v>72.26311801500593</v>
      </c>
      <c r="O49" s="162">
        <f t="shared" si="6"/>
        <v>73.64924561253804</v>
      </c>
      <c r="P49" s="163">
        <f t="shared" si="6"/>
        <v>75.21721853291643</v>
      </c>
      <c r="Q49" s="163">
        <f t="shared" si="6"/>
        <v>76.96740634856451</v>
      </c>
      <c r="R49" s="163">
        <f t="shared" si="6"/>
        <v>78.90075486425447</v>
      </c>
      <c r="S49" s="164">
        <f t="shared" si="6"/>
        <v>81.01877059275655</v>
      </c>
      <c r="T49" s="377"/>
      <c r="U49" s="377"/>
    </row>
    <row r="50" spans="1:21" ht="15" customHeight="1">
      <c r="A50" s="178" t="s">
        <v>327</v>
      </c>
      <c r="B50" s="219">
        <f>0.15*B93</f>
        <v>30.843995098825012</v>
      </c>
      <c r="C50" s="220">
        <f aca="true" t="shared" si="7" ref="C50:S50">0.15*C93</f>
        <v>32.430350515422916</v>
      </c>
      <c r="D50" s="220">
        <f t="shared" si="7"/>
        <v>37.010141282400454</v>
      </c>
      <c r="E50" s="220">
        <f t="shared" si="7"/>
        <v>43.55122440833959</v>
      </c>
      <c r="F50" s="220">
        <f t="shared" si="7"/>
        <v>48.959833748708675</v>
      </c>
      <c r="G50" s="220">
        <f t="shared" si="7"/>
        <v>52.124065365886366</v>
      </c>
      <c r="H50" s="365">
        <f t="shared" si="7"/>
        <v>52.55049473079071</v>
      </c>
      <c r="I50" s="220">
        <f t="shared" si="7"/>
        <v>53.443853141214156</v>
      </c>
      <c r="J50" s="220">
        <f t="shared" si="7"/>
        <v>54.352398644614794</v>
      </c>
      <c r="K50" s="220">
        <f t="shared" si="7"/>
        <v>55.27638942157324</v>
      </c>
      <c r="L50" s="222">
        <f t="shared" si="7"/>
        <v>56.21608804173998</v>
      </c>
      <c r="M50" s="219">
        <f t="shared" si="7"/>
        <v>57.17176153844955</v>
      </c>
      <c r="N50" s="222">
        <f t="shared" si="7"/>
        <v>58.14368148460319</v>
      </c>
      <c r="O50" s="219">
        <f t="shared" si="7"/>
        <v>59.13212406984143</v>
      </c>
      <c r="P50" s="220">
        <f t="shared" si="7"/>
        <v>60.13737017902873</v>
      </c>
      <c r="Q50" s="220">
        <f t="shared" si="7"/>
        <v>61.15970547207222</v>
      </c>
      <c r="R50" s="220">
        <f t="shared" si="7"/>
        <v>62.19942046509744</v>
      </c>
      <c r="S50" s="222">
        <f t="shared" si="7"/>
        <v>63.256810613004085</v>
      </c>
      <c r="T50" s="377"/>
      <c r="U50" s="377"/>
    </row>
    <row r="51" spans="1:21" ht="15" customHeight="1">
      <c r="A51" s="378" t="s">
        <v>328</v>
      </c>
      <c r="B51" s="379">
        <f>SUM(B32:B50)</f>
        <v>1553.6329005772363</v>
      </c>
      <c r="C51" s="380">
        <f>SUM(C32:C50)</f>
        <v>1627.248964787018</v>
      </c>
      <c r="D51" s="380">
        <f>SUM(D32:D50)</f>
        <v>1717.9783341224565</v>
      </c>
      <c r="E51" s="380">
        <f>SUM(E32:E50)</f>
        <v>1819.7281109550383</v>
      </c>
      <c r="F51" s="380">
        <f>SUM(F32:F50)</f>
        <v>1961.3614665469618</v>
      </c>
      <c r="G51" s="380">
        <f aca="true" t="shared" si="8" ref="G51:H51">SUM(G32:G50)</f>
        <v>2103.132272211158</v>
      </c>
      <c r="H51" s="381">
        <f t="shared" si="8"/>
        <v>2250.037322956653</v>
      </c>
      <c r="I51" s="380">
        <f>SUM(I32:I50)</f>
        <v>2340.819246267849</v>
      </c>
      <c r="J51" s="380">
        <f aca="true" t="shared" si="9" ref="J51:K51">SUM(J32:J50)</f>
        <v>2481.9910061575656</v>
      </c>
      <c r="K51" s="380">
        <f t="shared" si="9"/>
        <v>2639.6120494470683</v>
      </c>
      <c r="L51" s="370">
        <f>SUM(L32:L50)</f>
        <v>2816.3120148089993</v>
      </c>
      <c r="M51" s="379">
        <f>SUM(M32:M50)</f>
        <v>3015.6146639900767</v>
      </c>
      <c r="N51" s="370">
        <f>SUM(N32:N50)</f>
        <v>3242.403465382549</v>
      </c>
      <c r="O51" s="379">
        <f aca="true" t="shared" si="10" ref="O51:S51">SUM(O32:O50)</f>
        <v>3479.0397956115435</v>
      </c>
      <c r="P51" s="380">
        <f t="shared" si="10"/>
        <v>3746.5348825851324</v>
      </c>
      <c r="Q51" s="380">
        <f t="shared" si="10"/>
        <v>4050.5429502249963</v>
      </c>
      <c r="R51" s="380">
        <f t="shared" si="10"/>
        <v>4398.103155345427</v>
      </c>
      <c r="S51" s="370">
        <f t="shared" si="10"/>
        <v>4798.01941400623</v>
      </c>
      <c r="T51" s="377"/>
      <c r="U51" s="377"/>
    </row>
    <row r="52" spans="1:21" ht="15" customHeight="1">
      <c r="A52" s="374"/>
      <c r="B52" s="375"/>
      <c r="C52" s="375"/>
      <c r="D52" s="382"/>
      <c r="E52" s="375"/>
      <c r="F52" s="375"/>
      <c r="G52" s="375"/>
      <c r="H52" s="376"/>
      <c r="I52" s="375"/>
      <c r="J52" s="375"/>
      <c r="K52" s="375"/>
      <c r="L52" s="375"/>
      <c r="M52" s="375"/>
      <c r="N52" s="375"/>
      <c r="O52" s="377"/>
      <c r="Q52" s="377"/>
      <c r="R52" s="371"/>
      <c r="S52" s="236"/>
      <c r="T52" s="377"/>
      <c r="U52" s="377"/>
    </row>
    <row r="53" spans="1:21" ht="15" customHeight="1">
      <c r="A53" s="371"/>
      <c r="B53" s="371"/>
      <c r="C53" s="371"/>
      <c r="D53" s="374"/>
      <c r="E53" s="374"/>
      <c r="F53" s="374"/>
      <c r="G53" s="374"/>
      <c r="H53" s="383"/>
      <c r="I53" s="371"/>
      <c r="J53" s="371"/>
      <c r="K53" s="371"/>
      <c r="L53" s="371"/>
      <c r="M53" s="371"/>
      <c r="N53" s="374"/>
      <c r="O53" s="377"/>
      <c r="P53" s="371"/>
      <c r="Q53" s="377"/>
      <c r="R53" s="371"/>
      <c r="S53" s="236"/>
      <c r="T53" s="377"/>
      <c r="U53" s="377"/>
    </row>
    <row r="54" spans="1:18" s="143" customFormat="1" ht="15" customHeight="1">
      <c r="A54" s="371"/>
      <c r="B54" s="371"/>
      <c r="C54" s="371"/>
      <c r="D54" s="371"/>
      <c r="E54" s="371"/>
      <c r="F54" s="371"/>
      <c r="G54" s="371"/>
      <c r="H54" s="384"/>
      <c r="I54" s="371"/>
      <c r="J54" s="371"/>
      <c r="K54" s="371"/>
      <c r="L54" s="371"/>
      <c r="M54" s="371"/>
      <c r="N54" s="371"/>
      <c r="O54" s="374"/>
      <c r="P54" s="374"/>
      <c r="Q54" s="385"/>
      <c r="R54" s="374"/>
    </row>
    <row r="55" spans="1:18" s="143" customFormat="1" ht="15" customHeight="1">
      <c r="A55" s="371"/>
      <c r="B55" s="371"/>
      <c r="C55" s="371"/>
      <c r="D55" s="371"/>
      <c r="E55" s="371"/>
      <c r="F55" s="371"/>
      <c r="G55" s="371"/>
      <c r="H55" s="384"/>
      <c r="I55" s="371"/>
      <c r="J55" s="371"/>
      <c r="K55" s="371"/>
      <c r="L55" s="371"/>
      <c r="M55" s="371"/>
      <c r="N55" s="371"/>
      <c r="O55" s="374"/>
      <c r="P55" s="374"/>
      <c r="Q55" s="385"/>
      <c r="R55" s="374"/>
    </row>
    <row r="56" spans="1:19" s="143" customFormat="1" ht="30" customHeight="1">
      <c r="A56" s="151" t="s">
        <v>330</v>
      </c>
      <c r="B56" s="153">
        <v>2013</v>
      </c>
      <c r="C56" s="152">
        <v>2014</v>
      </c>
      <c r="D56" s="152">
        <v>2015</v>
      </c>
      <c r="E56" s="152">
        <v>2016</v>
      </c>
      <c r="F56" s="152">
        <v>2017</v>
      </c>
      <c r="G56" s="152">
        <v>2018</v>
      </c>
      <c r="H56" s="386">
        <v>2019</v>
      </c>
      <c r="I56" s="152">
        <v>2020</v>
      </c>
      <c r="J56" s="152">
        <v>2021</v>
      </c>
      <c r="K56" s="152">
        <v>2022</v>
      </c>
      <c r="L56" s="154">
        <v>2023</v>
      </c>
      <c r="M56" s="153">
        <v>2024</v>
      </c>
      <c r="N56" s="154">
        <v>2025</v>
      </c>
      <c r="O56" s="153">
        <v>2026</v>
      </c>
      <c r="P56" s="152">
        <v>2027</v>
      </c>
      <c r="Q56" s="152">
        <v>2028</v>
      </c>
      <c r="R56" s="152">
        <v>2029</v>
      </c>
      <c r="S56" s="154">
        <v>2030</v>
      </c>
    </row>
    <row r="57" spans="1:19" ht="15" customHeight="1">
      <c r="A57" s="155" t="s">
        <v>74</v>
      </c>
      <c r="B57" s="159">
        <f>'DATA Conservative'!F105*'DATA Conservative'!F85/1000</f>
        <v>82.58831416080828</v>
      </c>
      <c r="C57" s="160">
        <f>'DATA Conservative'!G105*'DATA Conservative'!G85/1000</f>
        <v>78.45889845276785</v>
      </c>
      <c r="D57" s="160">
        <f>'DATA Conservative'!H105*'DATA Conservative'!H85/1000</f>
        <v>74.53595353012946</v>
      </c>
      <c r="E57" s="160">
        <f>'DATA Conservative'!I105*'DATA Conservative'!I85/1000</f>
        <v>70.80915585362298</v>
      </c>
      <c r="F57" s="160">
        <f>'DATA Conservative'!J105*'DATA Conservative'!J85/1000</f>
        <v>67.26869806094184</v>
      </c>
      <c r="G57" s="160">
        <f>'DATA Conservative'!K105*'DATA Conservative'!K85/1000</f>
        <v>63.90526315789474</v>
      </c>
      <c r="H57" s="160">
        <f>'DATA Conservative'!L105*'DATA Conservative'!L85/1000</f>
        <v>60.71</v>
      </c>
      <c r="I57" s="160">
        <f>'DATA Conservative'!M105*'DATA Conservative'!M85/1000</f>
        <v>60.1029</v>
      </c>
      <c r="J57" s="160">
        <f>'DATA Conservative'!N105*'DATA Conservative'!N85/1000</f>
        <v>59.501870999999994</v>
      </c>
      <c r="K57" s="160">
        <f>'DATA Conservative'!O105*'DATA Conservative'!O85/1000</f>
        <v>58.906852289999996</v>
      </c>
      <c r="L57" s="161">
        <f>'DATA Conservative'!P105*'DATA Conservative'!P85/1000</f>
        <v>58.31778376709999</v>
      </c>
      <c r="M57" s="159">
        <f>'DATA Conservative'!Q105*'DATA Conservative'!Q85/1000</f>
        <v>57.73460592942899</v>
      </c>
      <c r="N57" s="161">
        <f>'DATA Conservative'!R105*'DATA Conservative'!R85/1000</f>
        <v>57.157259870134695</v>
      </c>
      <c r="O57" s="159">
        <f>'DATA Conservative'!S105*'DATA Conservative'!S85/1000</f>
        <v>56.58568727143335</v>
      </c>
      <c r="P57" s="160">
        <f>'DATA Conservative'!T105*'DATA Conservative'!T85/1000</f>
        <v>56.019830398719016</v>
      </c>
      <c r="Q57" s="160">
        <f>'DATA Conservative'!U105*'DATA Conservative'!U85/1000</f>
        <v>55.45963209473182</v>
      </c>
      <c r="R57" s="160">
        <f>'DATA Conservative'!V105*'DATA Conservative'!V85/1000</f>
        <v>54.905035773784505</v>
      </c>
      <c r="S57" s="161">
        <f>'DATA Conservative'!W105*'DATA Conservative'!W85/1000</f>
        <v>54.35598541604666</v>
      </c>
    </row>
    <row r="58" spans="1:19" ht="15" customHeight="1">
      <c r="A58" s="155" t="s">
        <v>76</v>
      </c>
      <c r="B58" s="159">
        <f>'DATA Conservative'!F106*'DATA Conservative'!F86/1000</f>
        <v>42.711697090866366</v>
      </c>
      <c r="C58" s="160">
        <f>'DATA Conservative'!G106*'DATA Conservative'!G86/1000</f>
        <v>43.99304800359236</v>
      </c>
      <c r="D58" s="160">
        <f>'DATA Conservative'!H106*'DATA Conservative'!H86/1000</f>
        <v>45.31283944370013</v>
      </c>
      <c r="E58" s="160">
        <f>'DATA Conservative'!I106*'DATA Conservative'!I86/1000</f>
        <v>46.672224627011126</v>
      </c>
      <c r="F58" s="160">
        <f>'DATA Conservative'!J106*'DATA Conservative'!J86/1000</f>
        <v>48.07239136582147</v>
      </c>
      <c r="G58" s="160">
        <f>'DATA Conservative'!K106*'DATA Conservative'!K86/1000</f>
        <v>49.51456310679612</v>
      </c>
      <c r="H58" s="160">
        <f>'DATA Conservative'!L106*'DATA Conservative'!L86/1000</f>
        <v>51</v>
      </c>
      <c r="I58" s="160">
        <f>'DATA Conservative'!M106*'DATA Conservative'!M86/1000</f>
        <v>59.5</v>
      </c>
      <c r="J58" s="160">
        <f>'DATA Conservative'!N106*'DATA Conservative'!N86/1000</f>
        <v>59.5</v>
      </c>
      <c r="K58" s="160">
        <f>'DATA Conservative'!O106*'DATA Conservative'!O86/1000</f>
        <v>61.28500000000001</v>
      </c>
      <c r="L58" s="161">
        <f>'DATA Conservative'!P106*'DATA Conservative'!P86/1000</f>
        <v>63.12355</v>
      </c>
      <c r="M58" s="159">
        <f>'DATA Conservative'!Q106*'DATA Conservative'!Q86/1000</f>
        <v>65.0172565</v>
      </c>
      <c r="N58" s="161">
        <f>'DATA Conservative'!R106*'DATA Conservative'!R86/1000</f>
        <v>66.967774195</v>
      </c>
      <c r="O58" s="159">
        <f>'DATA Conservative'!S106*'DATA Conservative'!S86/1000</f>
        <v>68.97680742085001</v>
      </c>
      <c r="P58" s="160">
        <f>'DATA Conservative'!T106*'DATA Conservative'!T86/1000</f>
        <v>71.04611164347551</v>
      </c>
      <c r="Q58" s="160">
        <f>'DATA Conservative'!U106*'DATA Conservative'!U86/1000</f>
        <v>73.17749499277978</v>
      </c>
      <c r="R58" s="160">
        <f>'DATA Conservative'!V106*'DATA Conservative'!V86/1000</f>
        <v>75.37281984256319</v>
      </c>
      <c r="S58" s="161">
        <f>'DATA Conservative'!W106*'DATA Conservative'!W86/1000</f>
        <v>77.63400443784008</v>
      </c>
    </row>
    <row r="59" spans="1:19" ht="15" customHeight="1">
      <c r="A59" s="155" t="s">
        <v>78</v>
      </c>
      <c r="B59" s="159">
        <f>'DATA Conservative'!F107*'DATA Conservative'!F87/1000</f>
        <v>49.547513061936534</v>
      </c>
      <c r="C59" s="160">
        <f>'DATA Conservative'!G107*'DATA Conservative'!G87/1000</f>
        <v>49.052037931317166</v>
      </c>
      <c r="D59" s="160">
        <f>'DATA Conservative'!H107*'DATA Conservative'!H87/1000</f>
        <v>48.56151755200399</v>
      </c>
      <c r="E59" s="160">
        <f>'DATA Conservative'!I107*'DATA Conservative'!I87/1000</f>
        <v>48.07590237648395</v>
      </c>
      <c r="F59" s="160">
        <f>'DATA Conservative'!J107*'DATA Conservative'!J87/1000</f>
        <v>47.59514335271911</v>
      </c>
      <c r="G59" s="160">
        <f>'DATA Conservative'!K107*'DATA Conservative'!K87/1000</f>
        <v>47.11919191919192</v>
      </c>
      <c r="H59" s="160">
        <f>'DATA Conservative'!L107*'DATA Conservative'!L87/1000</f>
        <v>46.648</v>
      </c>
      <c r="I59" s="160">
        <f>'DATA Conservative'!M107*'DATA Conservative'!M87/1000</f>
        <v>47.11448</v>
      </c>
      <c r="J59" s="160">
        <f>'DATA Conservative'!N107*'DATA Conservative'!N87/1000</f>
        <v>47.585624800000005</v>
      </c>
      <c r="K59" s="160">
        <f>'DATA Conservative'!O107*'DATA Conservative'!O87/1000</f>
        <v>48.061481048000005</v>
      </c>
      <c r="L59" s="161">
        <f>'DATA Conservative'!P107*'DATA Conservative'!P87/1000</f>
        <v>48.54209585848001</v>
      </c>
      <c r="M59" s="159">
        <f>'DATA Conservative'!Q107*'DATA Conservative'!Q87/1000</f>
        <v>49.0275168170648</v>
      </c>
      <c r="N59" s="161">
        <f>'DATA Conservative'!R107*'DATA Conservative'!R87/1000</f>
        <v>49.517791985235455</v>
      </c>
      <c r="O59" s="159">
        <f>'DATA Conservative'!S107*'DATA Conservative'!S87/1000</f>
        <v>50.012969905087814</v>
      </c>
      <c r="P59" s="160">
        <f>'DATA Conservative'!T107*'DATA Conservative'!T87/1000</f>
        <v>50.51309960413869</v>
      </c>
      <c r="Q59" s="160">
        <f>'DATA Conservative'!U107*'DATA Conservative'!U87/1000</f>
        <v>51.018230600180075</v>
      </c>
      <c r="R59" s="160">
        <f>'DATA Conservative'!V107*'DATA Conservative'!V87/1000</f>
        <v>51.52841290618188</v>
      </c>
      <c r="S59" s="161">
        <f>'DATA Conservative'!W107*'DATA Conservative'!W87/1000</f>
        <v>52.04369703524369</v>
      </c>
    </row>
    <row r="60" spans="1:19" ht="15" customHeight="1">
      <c r="A60" s="155" t="s">
        <v>79</v>
      </c>
      <c r="B60" s="159">
        <f>'DATA Conservative'!F108*'DATA Conservative'!F88/1000</f>
        <v>36.268741557286965</v>
      </c>
      <c r="C60" s="160">
        <f>'DATA Conservative'!G108*'DATA Conservative'!G88/1000</f>
        <v>36.63142897285984</v>
      </c>
      <c r="D60" s="160">
        <f>'DATA Conservative'!H108*'DATA Conservative'!H88/1000</f>
        <v>36.99774326258843</v>
      </c>
      <c r="E60" s="160">
        <f>'DATA Conservative'!I108*'DATA Conservative'!I88/1000</f>
        <v>37.36772069521431</v>
      </c>
      <c r="F60" s="160">
        <f>'DATA Conservative'!J108*'DATA Conservative'!J88/1000</f>
        <v>37.741397902166455</v>
      </c>
      <c r="G60" s="160">
        <f>'DATA Conservative'!K108*'DATA Conservative'!K88/1000</f>
        <v>38.11881188118812</v>
      </c>
      <c r="H60" s="160">
        <f>'DATA Conservative'!L108*'DATA Conservative'!L88/1000</f>
        <v>38.5</v>
      </c>
      <c r="I60" s="160">
        <f>'DATA Conservative'!M108*'DATA Conservative'!M88/1000</f>
        <v>38.885</v>
      </c>
      <c r="J60" s="160">
        <f>'DATA Conservative'!N108*'DATA Conservative'!N88/1000</f>
        <v>39.27385</v>
      </c>
      <c r="K60" s="160">
        <f>'DATA Conservative'!O108*'DATA Conservative'!O88/1000</f>
        <v>39.6665885</v>
      </c>
      <c r="L60" s="161">
        <f>'DATA Conservative'!P108*'DATA Conservative'!P88/1000</f>
        <v>40.06325438500001</v>
      </c>
      <c r="M60" s="159">
        <f>'DATA Conservative'!Q108*'DATA Conservative'!Q88/1000</f>
        <v>40.463886928850016</v>
      </c>
      <c r="N60" s="161">
        <f>'DATA Conservative'!R108*'DATA Conservative'!R88/1000</f>
        <v>40.86852579813851</v>
      </c>
      <c r="O60" s="159">
        <f>'DATA Conservative'!S108*'DATA Conservative'!S88/1000</f>
        <v>41.2772110561199</v>
      </c>
      <c r="P60" s="160">
        <f>'DATA Conservative'!T108*'DATA Conservative'!T88/1000</f>
        <v>41.6899831666811</v>
      </c>
      <c r="Q60" s="160">
        <f>'DATA Conservative'!U108*'DATA Conservative'!U88/1000</f>
        <v>42.106882998347906</v>
      </c>
      <c r="R60" s="160">
        <f>'DATA Conservative'!V108*'DATA Conservative'!V88/1000</f>
        <v>42.52795182833139</v>
      </c>
      <c r="S60" s="161">
        <f>'DATA Conservative'!W108*'DATA Conservative'!W88/1000</f>
        <v>42.95323134661471</v>
      </c>
    </row>
    <row r="61" spans="1:19" ht="15" customHeight="1">
      <c r="A61" s="155" t="s">
        <v>81</v>
      </c>
      <c r="B61" s="159">
        <f>'DATA Conservative'!F109*'DATA Conservative'!F89/1000</f>
        <v>105.30875973176784</v>
      </c>
      <c r="C61" s="160">
        <f>'DATA Conservative'!G109*'DATA Conservative'!G89/1000</f>
        <v>112.36444663379626</v>
      </c>
      <c r="D61" s="160">
        <f>'DATA Conservative'!H109*'DATA Conservative'!H89/1000</f>
        <v>119.89286455826063</v>
      </c>
      <c r="E61" s="160">
        <f>'DATA Conservative'!I109*'DATA Conservative'!I89/1000</f>
        <v>127.9256864836641</v>
      </c>
      <c r="F61" s="160">
        <f>'DATA Conservative'!J109*'DATA Conservative'!J89/1000</f>
        <v>136.4967074780696</v>
      </c>
      <c r="G61" s="160">
        <f>'DATA Conservative'!K109*'DATA Conservative'!K89/1000</f>
        <v>145.64198687910027</v>
      </c>
      <c r="H61" s="160">
        <f>'DATA Conservative'!L109*'DATA Conservative'!L89/1000</f>
        <v>155.4</v>
      </c>
      <c r="I61" s="160">
        <f>'DATA Conservative'!M109*'DATA Conservative'!M89/1000</f>
        <v>153.75275999999997</v>
      </c>
      <c r="J61" s="160">
        <f>'DATA Conservative'!N109*'DATA Conservative'!N89/1000</f>
        <v>152.12298074399996</v>
      </c>
      <c r="K61" s="160">
        <f>'DATA Conservative'!O109*'DATA Conservative'!O89/1000</f>
        <v>150.51047714811358</v>
      </c>
      <c r="L61" s="161">
        <f>'DATA Conservative'!P109*'DATA Conservative'!P89/1000</f>
        <v>148.91506609034357</v>
      </c>
      <c r="M61" s="159">
        <f>'DATA Conservative'!Q109*'DATA Conservative'!Q89/1000</f>
        <v>147.33656638978596</v>
      </c>
      <c r="N61" s="161">
        <f>'DATA Conservative'!R109*'DATA Conservative'!R89/1000</f>
        <v>145.77479878605422</v>
      </c>
      <c r="O61" s="159">
        <f>'DATA Conservative'!S109*'DATA Conservative'!S89/1000</f>
        <v>144.22958591892206</v>
      </c>
      <c r="P61" s="160">
        <f>'DATA Conservative'!T109*'DATA Conservative'!T89/1000</f>
        <v>142.70075230818148</v>
      </c>
      <c r="Q61" s="160">
        <f>'DATA Conservative'!U109*'DATA Conservative'!U89/1000</f>
        <v>141.18812433371474</v>
      </c>
      <c r="R61" s="160">
        <f>'DATA Conservative'!V109*'DATA Conservative'!V89/1000</f>
        <v>139.69153021577736</v>
      </c>
      <c r="S61" s="161">
        <f>'DATA Conservative'!W109*'DATA Conservative'!W89/1000</f>
        <v>138.2107999954901</v>
      </c>
    </row>
    <row r="62" spans="1:19" ht="15" customHeight="1">
      <c r="A62" s="155" t="s">
        <v>30</v>
      </c>
      <c r="B62" s="159">
        <f>'DATA Conservative'!F110*'DATA Conservative'!F90/1000</f>
        <v>7.221267288111202</v>
      </c>
      <c r="C62" s="160">
        <f>'DATA Conservative'!G110*'DATA Conservative'!G90/1000</f>
        <v>8.65829947844533</v>
      </c>
      <c r="D62" s="160">
        <f>'DATA Conservative'!H110*'DATA Conservative'!H90/1000</f>
        <v>10.381301074655953</v>
      </c>
      <c r="E62" s="160">
        <f>'DATA Conservative'!I110*'DATA Conservative'!I90/1000</f>
        <v>12.447179988512492</v>
      </c>
      <c r="F62" s="160">
        <f>'DATA Conservative'!J110*'DATA Conservative'!J90/1000</f>
        <v>14.924168806226481</v>
      </c>
      <c r="G62" s="160">
        <f>'DATA Conservative'!K110*'DATA Conservative'!K90/1000</f>
        <v>17.894078398665552</v>
      </c>
      <c r="H62" s="160">
        <f>'DATA Conservative'!L110*'DATA Conservative'!L90/1000</f>
        <v>21.455</v>
      </c>
      <c r="I62" s="160">
        <f>'DATA Conservative'!M110*'DATA Conservative'!M90/1000</f>
        <v>24.563829500000004</v>
      </c>
      <c r="J62" s="160">
        <f>'DATA Conservative'!N110*'DATA Conservative'!N90/1000</f>
        <v>28.123128394550008</v>
      </c>
      <c r="K62" s="160">
        <f>'DATA Conservative'!O110*'DATA Conservative'!O90/1000</f>
        <v>32.19816969892031</v>
      </c>
      <c r="L62" s="161">
        <f>'DATA Conservative'!P110*'DATA Conservative'!P90/1000</f>
        <v>36.86368448829387</v>
      </c>
      <c r="M62" s="159">
        <f>'DATA Conservative'!Q110*'DATA Conservative'!Q90/1000</f>
        <v>42.20523237064765</v>
      </c>
      <c r="N62" s="161">
        <f>'DATA Conservative'!R110*'DATA Conservative'!R90/1000</f>
        <v>48.3207705411545</v>
      </c>
      <c r="O62" s="159">
        <f>'DATA Conservative'!S110*'DATA Conservative'!S90/1000</f>
        <v>54.28838570298709</v>
      </c>
      <c r="P62" s="160">
        <f>'DATA Conservative'!T110*'DATA Conservative'!T90/1000</f>
        <v>60.99300133730601</v>
      </c>
      <c r="Q62" s="160">
        <f>'DATA Conservative'!U110*'DATA Conservative'!U90/1000</f>
        <v>68.52563700246331</v>
      </c>
      <c r="R62" s="160">
        <f>'DATA Conservative'!V110*'DATA Conservative'!V90/1000</f>
        <v>76.98855317226752</v>
      </c>
      <c r="S62" s="161">
        <f>'DATA Conservative'!W110*'DATA Conservative'!W90/1000</f>
        <v>86.4966394890426</v>
      </c>
    </row>
    <row r="63" spans="1:19" ht="15" customHeight="1">
      <c r="A63" s="155" t="s">
        <v>84</v>
      </c>
      <c r="B63" s="159">
        <f>'DATA Conservative'!F111*'DATA Conservative'!F91/1000</f>
        <v>4.301291347009782</v>
      </c>
      <c r="C63" s="160">
        <f>'DATA Conservative'!G111*'DATA Conservative'!G91/1000</f>
        <v>4.73142048171076</v>
      </c>
      <c r="D63" s="160">
        <f>'DATA Conservative'!H111*'DATA Conservative'!H91/1000</f>
        <v>5.204562529881837</v>
      </c>
      <c r="E63" s="160">
        <f>'DATA Conservative'!I111*'DATA Conservative'!I91/1000</f>
        <v>5.725018782870021</v>
      </c>
      <c r="F63" s="160">
        <f>'DATA Conservative'!J111*'DATA Conservative'!J91/1000</f>
        <v>6.297520661157024</v>
      </c>
      <c r="G63" s="160">
        <f>'DATA Conservative'!K111*'DATA Conservative'!K91/1000</f>
        <v>6.927272727272727</v>
      </c>
      <c r="H63" s="160">
        <f>'DATA Conservative'!L111*'DATA Conservative'!L91/1000</f>
        <v>7.62</v>
      </c>
      <c r="I63" s="160">
        <f>'DATA Conservative'!M111*'DATA Conservative'!M91/1000</f>
        <v>8.305800000000001</v>
      </c>
      <c r="J63" s="160">
        <f>'DATA Conservative'!N111*'DATA Conservative'!N91/1000</f>
        <v>9.053322000000001</v>
      </c>
      <c r="K63" s="160">
        <f>'DATA Conservative'!O111*'DATA Conservative'!O91/1000</f>
        <v>9.868120980000004</v>
      </c>
      <c r="L63" s="161">
        <f>'DATA Conservative'!P111*'DATA Conservative'!P91/1000</f>
        <v>10.756251868200005</v>
      </c>
      <c r="M63" s="159">
        <f>'DATA Conservative'!Q111*'DATA Conservative'!Q91/1000</f>
        <v>11.724314536338007</v>
      </c>
      <c r="N63" s="161">
        <f>'DATA Conservative'!R111*'DATA Conservative'!R91/1000</f>
        <v>12.779502844608425</v>
      </c>
      <c r="O63" s="159">
        <f>'DATA Conservative'!S111*'DATA Conservative'!S91/1000</f>
        <v>13.929658100623184</v>
      </c>
      <c r="P63" s="160">
        <f>'DATA Conservative'!T111*'DATA Conservative'!T91/1000</f>
        <v>15.183327329679273</v>
      </c>
      <c r="Q63" s="160">
        <f>'DATA Conservative'!U111*'DATA Conservative'!U91/1000</f>
        <v>16.54982678935041</v>
      </c>
      <c r="R63" s="160">
        <f>'DATA Conservative'!V111*'DATA Conservative'!V91/1000</f>
        <v>18.039311200391946</v>
      </c>
      <c r="S63" s="161">
        <f>'DATA Conservative'!W111*'DATA Conservative'!W91/1000</f>
        <v>19.66284920842722</v>
      </c>
    </row>
    <row r="64" spans="1:19" ht="15" customHeight="1">
      <c r="A64" s="155" t="s">
        <v>86</v>
      </c>
      <c r="B64" s="159">
        <f>'DATA Conservative'!F112*'DATA Conservative'!F92/1000</f>
        <v>5.732474550357578</v>
      </c>
      <c r="C64" s="160">
        <f>'DATA Conservative'!G112*'DATA Conservative'!G92/1000</f>
        <v>4.872603367803941</v>
      </c>
      <c r="D64" s="160">
        <f>'DATA Conservative'!H112*'DATA Conservative'!H92/1000</f>
        <v>4.14171286263335</v>
      </c>
      <c r="E64" s="160">
        <f>'DATA Conservative'!I112*'DATA Conservative'!I92/1000</f>
        <v>3.520455933238347</v>
      </c>
      <c r="F64" s="160">
        <f>'DATA Conservative'!J112*'DATA Conservative'!J92/1000</f>
        <v>2.9923875432525953</v>
      </c>
      <c r="G64" s="160">
        <f>'DATA Conservative'!K112*'DATA Conservative'!K92/1000</f>
        <v>2.543529411764706</v>
      </c>
      <c r="H64" s="160">
        <f>'DATA Conservative'!L112*'DATA Conservative'!L92/1000</f>
        <v>2.162</v>
      </c>
      <c r="I64" s="160">
        <f>'DATA Conservative'!M112*'DATA Conservative'!M92/1000</f>
        <v>1.9674200000000002</v>
      </c>
      <c r="J64" s="160">
        <f>'DATA Conservative'!N112*'DATA Conservative'!N92/1000</f>
        <v>1.7903522</v>
      </c>
      <c r="K64" s="160">
        <f>'DATA Conservative'!O112*'DATA Conservative'!O92/1000</f>
        <v>1.6292205020000001</v>
      </c>
      <c r="L64" s="161">
        <f>'DATA Conservative'!P112*'DATA Conservative'!P92/1000</f>
        <v>1.4825906568200002</v>
      </c>
      <c r="M64" s="159">
        <f>'DATA Conservative'!Q112*'DATA Conservative'!Q92/1000</f>
        <v>1.3491574977062002</v>
      </c>
      <c r="N64" s="161">
        <f>'DATA Conservative'!R112*'DATA Conservative'!R92/1000</f>
        <v>1.2277333229126424</v>
      </c>
      <c r="O64" s="159">
        <f>'DATA Conservative'!S112*'DATA Conservative'!S92/1000</f>
        <v>1.1172373238505044</v>
      </c>
      <c r="P64" s="160">
        <f>'DATA Conservative'!T112*'DATA Conservative'!T92/1000</f>
        <v>1.0166859647039592</v>
      </c>
      <c r="Q64" s="160">
        <f>'DATA Conservative'!U112*'DATA Conservative'!U92/1000</f>
        <v>0.9251842278806028</v>
      </c>
      <c r="R64" s="160">
        <f>'DATA Conservative'!V112*'DATA Conservative'!V92/1000</f>
        <v>0.8419176473713486</v>
      </c>
      <c r="S64" s="161">
        <f>'DATA Conservative'!W112*'DATA Conservative'!W92/1000</f>
        <v>0.7661450591079273</v>
      </c>
    </row>
    <row r="65" spans="1:19" ht="15" customHeight="1">
      <c r="A65" s="212" t="s">
        <v>88</v>
      </c>
      <c r="B65" s="159">
        <f>'DATA Conservative'!F113*'DATA Conservative'!F93/1000</f>
        <v>19.059965952</v>
      </c>
      <c r="C65" s="160">
        <f>'DATA Conservative'!G113*'DATA Conservative'!G93/1000</f>
        <v>23.824957440000002</v>
      </c>
      <c r="D65" s="160">
        <f>'DATA Conservative'!H113*'DATA Conservative'!H93/1000</f>
        <v>29.7811968</v>
      </c>
      <c r="E65" s="160">
        <f>'DATA Conservative'!I113*'DATA Conservative'!I93/1000</f>
        <v>37.226496</v>
      </c>
      <c r="F65" s="160">
        <f>'DATA Conservative'!J113*'DATA Conservative'!J93/1000</f>
        <v>46.53312</v>
      </c>
      <c r="G65" s="160">
        <f>'DATA Conservative'!K113*'DATA Conservative'!K93/1000</f>
        <v>58.1664</v>
      </c>
      <c r="H65" s="160">
        <f>'DATA Conservative'!L113*'DATA Conservative'!L93/1000</f>
        <v>72.708</v>
      </c>
      <c r="I65" s="160">
        <f>'DATA Conservative'!M113*'DATA Conservative'!M93/1000</f>
        <v>80.814942</v>
      </c>
      <c r="J65" s="160">
        <f>'DATA Conservative'!N113*'DATA Conservative'!N93/1000</f>
        <v>89.82580803299997</v>
      </c>
      <c r="K65" s="160">
        <f>'DATA Conservative'!O113*'DATA Conservative'!O93/1000</f>
        <v>99.84138562867948</v>
      </c>
      <c r="L65" s="161">
        <f>'DATA Conservative'!P113*'DATA Conservative'!P93/1000</f>
        <v>110.97370012627722</v>
      </c>
      <c r="M65" s="159">
        <f>'DATA Conservative'!Q113*'DATA Conservative'!Q93/1000</f>
        <v>123.34726769035711</v>
      </c>
      <c r="N65" s="161">
        <f>'DATA Conservative'!R113*'DATA Conservative'!R93/1000</f>
        <v>137.1004880378319</v>
      </c>
      <c r="O65" s="159">
        <f>'DATA Conservative'!S113*'DATA Conservative'!S93/1000</f>
        <v>152.3871924540501</v>
      </c>
      <c r="P65" s="160">
        <f>'DATA Conservative'!T113*'DATA Conservative'!T93/1000</f>
        <v>169.37836441267672</v>
      </c>
      <c r="Q65" s="160">
        <f>'DATA Conservative'!U113*'DATA Conservative'!U93/1000</f>
        <v>188.26405204469015</v>
      </c>
      <c r="R65" s="160">
        <f>'DATA Conservative'!V113*'DATA Conservative'!V93/1000</f>
        <v>209.25549384767305</v>
      </c>
      <c r="S65" s="161">
        <f>'DATA Conservative'!W113*'DATA Conservative'!W93/1000</f>
        <v>232.58748141168857</v>
      </c>
    </row>
    <row r="66" spans="1:19" ht="15" customHeight="1">
      <c r="A66" s="155" t="s">
        <v>90</v>
      </c>
      <c r="B66" s="159">
        <f>'DATA Conservative'!F114*'DATA Conservative'!F94/1000</f>
        <v>526.7244647479677</v>
      </c>
      <c r="C66" s="160">
        <f>'DATA Conservative'!G114*'DATA Conservative'!G94/1000</f>
        <v>523.9328250848033</v>
      </c>
      <c r="D66" s="160">
        <f>'DATA Conservative'!H114*'DATA Conservative'!H94/1000</f>
        <v>521.1559811118537</v>
      </c>
      <c r="E66" s="160">
        <f>'DATA Conservative'!I114*'DATA Conservative'!I94/1000</f>
        <v>518.3938544119609</v>
      </c>
      <c r="F66" s="160">
        <f>'DATA Conservative'!J114*'DATA Conservative'!J94/1000</f>
        <v>515.6463669835774</v>
      </c>
      <c r="G66" s="160">
        <f>'DATA Conservative'!K114*'DATA Conservative'!K94/1000</f>
        <v>512.9134412385645</v>
      </c>
      <c r="H66" s="160">
        <f>'DATA Conservative'!L114*'DATA Conservative'!L94/1000</f>
        <v>510.195</v>
      </c>
      <c r="I66" s="160">
        <f>'DATA Conservative'!M114*'DATA Conservative'!M94/1000</f>
        <v>533.38336275</v>
      </c>
      <c r="J66" s="160">
        <f>'DATA Conservative'!N114*'DATA Conservative'!N94/1000</f>
        <v>557.6256365869875</v>
      </c>
      <c r="K66" s="160">
        <f>'DATA Conservative'!O114*'DATA Conservative'!O94/1000</f>
        <v>582.969721769866</v>
      </c>
      <c r="L66" s="161">
        <f>'DATA Conservative'!P114*'DATA Conservative'!P94/1000</f>
        <v>609.4656956243065</v>
      </c>
      <c r="M66" s="159">
        <f>'DATA Conservative'!Q114*'DATA Conservative'!Q94/1000</f>
        <v>637.1659114904312</v>
      </c>
      <c r="N66" s="161">
        <f>'DATA Conservative'!R114*'DATA Conservative'!R94/1000</f>
        <v>666.1251021676712</v>
      </c>
      <c r="O66" s="159">
        <f>'DATA Conservative'!S114*'DATA Conservative'!S94/1000</f>
        <v>696.4004880611917</v>
      </c>
      <c r="P66" s="160">
        <f>'DATA Conservative'!T114*'DATA Conservative'!T94/1000</f>
        <v>728.0518902435728</v>
      </c>
      <c r="Q66" s="160">
        <f>'DATA Conservative'!U114*'DATA Conservative'!U94/1000</f>
        <v>761.1418486551431</v>
      </c>
      <c r="R66" s="160">
        <f>'DATA Conservative'!V114*'DATA Conservative'!V94/1000</f>
        <v>795.7357456765195</v>
      </c>
      <c r="S66" s="161">
        <f>'DATA Conservative'!W114*'DATA Conservative'!W94/1000</f>
        <v>831.9019353175173</v>
      </c>
    </row>
    <row r="67" spans="1:19" ht="15" customHeight="1">
      <c r="A67" s="155" t="s">
        <v>92</v>
      </c>
      <c r="B67" s="159">
        <f>'DATA Conservative'!F115*'DATA Conservative'!F95/1000</f>
        <v>12.418426461183097</v>
      </c>
      <c r="C67" s="160">
        <f>'DATA Conservative'!G115*'DATA Conservative'!G95/1000</f>
        <v>13.660269107301408</v>
      </c>
      <c r="D67" s="160">
        <f>'DATA Conservative'!H115*'DATA Conservative'!H95/1000</f>
        <v>15.026296018031552</v>
      </c>
      <c r="E67" s="160">
        <f>'DATA Conservative'!I115*'DATA Conservative'!I95/1000</f>
        <v>16.528925619834705</v>
      </c>
      <c r="F67" s="160">
        <f>'DATA Conservative'!J115*'DATA Conservative'!J95/1000</f>
        <v>18.181818181818176</v>
      </c>
      <c r="G67" s="160">
        <f>'DATA Conservative'!K115*'DATA Conservative'!K95/1000</f>
        <v>19.999999999999996</v>
      </c>
      <c r="H67" s="160">
        <f>'DATA Conservative'!L115*'DATA Conservative'!L95/1000</f>
        <v>22</v>
      </c>
      <c r="I67" s="160">
        <f>'DATA Conservative'!M115*'DATA Conservative'!M95/1000</f>
        <v>24.2</v>
      </c>
      <c r="J67" s="160">
        <f>'DATA Conservative'!N115*'DATA Conservative'!N95/1000</f>
        <v>26.62</v>
      </c>
      <c r="K67" s="160">
        <f>'DATA Conservative'!O115*'DATA Conservative'!O95/1000</f>
        <v>29.282000000000004</v>
      </c>
      <c r="L67" s="161">
        <f>'DATA Conservative'!P115*'DATA Conservative'!P95/1000</f>
        <v>32.21020000000001</v>
      </c>
      <c r="M67" s="159">
        <f>'DATA Conservative'!Q115*'DATA Conservative'!Q95/1000</f>
        <v>35.43122000000001</v>
      </c>
      <c r="N67" s="161">
        <f>'DATA Conservative'!R115*'DATA Conservative'!R95/1000</f>
        <v>38.974342000000014</v>
      </c>
      <c r="O67" s="159">
        <f>'DATA Conservative'!S115*'DATA Conservative'!S95/1000</f>
        <v>42.87177620000001</v>
      </c>
      <c r="P67" s="160">
        <f>'DATA Conservative'!T115*'DATA Conservative'!T95/1000</f>
        <v>47.158953820000015</v>
      </c>
      <c r="Q67" s="160">
        <f>'DATA Conservative'!U115*'DATA Conservative'!U95/1000</f>
        <v>51.87484920200003</v>
      </c>
      <c r="R67" s="160">
        <f>'DATA Conservative'!V115*'DATA Conservative'!V95/1000</f>
        <v>57.06233412220003</v>
      </c>
      <c r="S67" s="161">
        <f>'DATA Conservative'!W115*'DATA Conservative'!W95/1000</f>
        <v>62.768567534420036</v>
      </c>
    </row>
    <row r="68" spans="1:19" ht="15" customHeight="1">
      <c r="A68" s="155" t="s">
        <v>94</v>
      </c>
      <c r="B68" s="159">
        <f>'DATA Conservative'!F116*'DATA Conservative'!F96/1000</f>
        <v>36.275436731013684</v>
      </c>
      <c r="C68" s="160">
        <f>'DATA Conservative'!G116*'DATA Conservative'!G96/1000</f>
        <v>37.72645420025424</v>
      </c>
      <c r="D68" s="160">
        <f>'DATA Conservative'!H116*'DATA Conservative'!H96/1000</f>
        <v>39.2355123682644</v>
      </c>
      <c r="E68" s="160">
        <f>'DATA Conservative'!I116*'DATA Conservative'!I96/1000</f>
        <v>40.80493286299498</v>
      </c>
      <c r="F68" s="160">
        <f>'DATA Conservative'!J116*'DATA Conservative'!J96/1000</f>
        <v>42.43713017751479</v>
      </c>
      <c r="G68" s="160">
        <f>'DATA Conservative'!K116*'DATA Conservative'!K96/1000</f>
        <v>44.13461538461538</v>
      </c>
      <c r="H68" s="160">
        <f>'DATA Conservative'!L116*'DATA Conservative'!L96/1000</f>
        <v>45.9</v>
      </c>
      <c r="I68" s="160">
        <f>'DATA Conservative'!M116*'DATA Conservative'!M96/1000</f>
        <v>46.9557</v>
      </c>
      <c r="J68" s="160">
        <f>'DATA Conservative'!N116*'DATA Conservative'!N96/1000</f>
        <v>48.03568109999999</v>
      </c>
      <c r="K68" s="160">
        <f>'DATA Conservative'!O116*'DATA Conservative'!O96/1000</f>
        <v>49.14050176529999</v>
      </c>
      <c r="L68" s="161">
        <f>'DATA Conservative'!P116*'DATA Conservative'!P96/1000</f>
        <v>50.27073330590188</v>
      </c>
      <c r="M68" s="159">
        <f>'DATA Conservative'!Q116*'DATA Conservative'!Q96/1000</f>
        <v>51.42696017193762</v>
      </c>
      <c r="N68" s="161">
        <f>'DATA Conservative'!R116*'DATA Conservative'!R96/1000</f>
        <v>52.60978025589218</v>
      </c>
      <c r="O68" s="159">
        <f>'DATA Conservative'!S116*'DATA Conservative'!S96/1000</f>
        <v>53.81980520177769</v>
      </c>
      <c r="P68" s="160">
        <f>'DATA Conservative'!T116*'DATA Conservative'!T96/1000</f>
        <v>55.05766072141857</v>
      </c>
      <c r="Q68" s="160">
        <f>'DATA Conservative'!U116*'DATA Conservative'!U96/1000</f>
        <v>56.3239869180112</v>
      </c>
      <c r="R68" s="160">
        <f>'DATA Conservative'!V116*'DATA Conservative'!V96/1000</f>
        <v>57.619438617125454</v>
      </c>
      <c r="S68" s="161">
        <f>'DATA Conservative'!W116*'DATA Conservative'!W96/1000</f>
        <v>58.94468570531933</v>
      </c>
    </row>
    <row r="69" spans="1:19" ht="15" customHeight="1">
      <c r="A69" s="155" t="s">
        <v>96</v>
      </c>
      <c r="B69" s="159">
        <f>'DATA Conservative'!F117*'DATA Conservative'!F97/1000</f>
        <v>2.5360462675237647</v>
      </c>
      <c r="C69" s="160">
        <f>'DATA Conservative'!G117*'DATA Conservative'!G97/1000</f>
        <v>2.5867671928742397</v>
      </c>
      <c r="D69" s="160">
        <f>'DATA Conservative'!H117*'DATA Conservative'!H97/1000</f>
        <v>2.6385025367317243</v>
      </c>
      <c r="E69" s="160">
        <f>'DATA Conservative'!I117*'DATA Conservative'!I97/1000</f>
        <v>2.691272587466359</v>
      </c>
      <c r="F69" s="160">
        <f>'DATA Conservative'!J117*'DATA Conservative'!J97/1000</f>
        <v>2.7450980392156863</v>
      </c>
      <c r="G69" s="160">
        <f>'DATA Conservative'!K117*'DATA Conservative'!K97/1000</f>
        <v>2.8</v>
      </c>
      <c r="H69" s="160">
        <f>'DATA Conservative'!L117*'DATA Conservative'!L97/1000</f>
        <v>2.856</v>
      </c>
      <c r="I69" s="160">
        <f>'DATA Conservative'!M117*'DATA Conservative'!M97/1000</f>
        <v>2.9131199999999997</v>
      </c>
      <c r="J69" s="160">
        <f>'DATA Conservative'!N117*'DATA Conservative'!N97/1000</f>
        <v>2.9713824</v>
      </c>
      <c r="K69" s="160">
        <f>'DATA Conservative'!O117*'DATA Conservative'!O97/1000</f>
        <v>3.0308100479999998</v>
      </c>
      <c r="L69" s="161">
        <f>'DATA Conservative'!P117*'DATA Conservative'!P97/1000</f>
        <v>3.09142624896</v>
      </c>
      <c r="M69" s="159">
        <f>'DATA Conservative'!Q117*'DATA Conservative'!Q97/1000</f>
        <v>3.1532547739392003</v>
      </c>
      <c r="N69" s="161">
        <f>'DATA Conservative'!R117*'DATA Conservative'!R97/1000</f>
        <v>3.216319869417984</v>
      </c>
      <c r="O69" s="159">
        <f>'DATA Conservative'!S117*'DATA Conservative'!S97/1000</f>
        <v>3.280646266806344</v>
      </c>
      <c r="P69" s="160">
        <f>'DATA Conservative'!T117*'DATA Conservative'!T97/1000</f>
        <v>3.346259192142471</v>
      </c>
      <c r="Q69" s="160">
        <f>'DATA Conservative'!U117*'DATA Conservative'!U97/1000</f>
        <v>3.4131843759853204</v>
      </c>
      <c r="R69" s="160">
        <f>'DATA Conservative'!V117*'DATA Conservative'!V97/1000</f>
        <v>3.481448063505027</v>
      </c>
      <c r="S69" s="161">
        <f>'DATA Conservative'!W117*'DATA Conservative'!W97/1000</f>
        <v>3.5510770247751275</v>
      </c>
    </row>
    <row r="70" spans="1:19" ht="15" customHeight="1">
      <c r="A70" s="155" t="s">
        <v>5</v>
      </c>
      <c r="B70" s="159">
        <f>'DATA Conservative'!F118*'DATA Conservative'!F98/1000</f>
        <v>0.011061728395061728</v>
      </c>
      <c r="C70" s="160">
        <f>'DATA Conservative'!G118*'DATA Conservative'!G98/1000</f>
        <v>0.016592592592592593</v>
      </c>
      <c r="D70" s="160">
        <f>'DATA Conservative'!H118*'DATA Conservative'!H98/1000</f>
        <v>0.02488888888888889</v>
      </c>
      <c r="E70" s="160">
        <f>'DATA Conservative'!I118*'DATA Conservative'!I98/1000</f>
        <v>0.037333333333333336</v>
      </c>
      <c r="F70" s="160">
        <f>'DATA Conservative'!J118*'DATA Conservative'!J98/1000</f>
        <v>0.056</v>
      </c>
      <c r="G70" s="160">
        <f>'DATA Conservative'!K118*'DATA Conservative'!K98/1000</f>
        <v>0.084</v>
      </c>
      <c r="H70" s="160">
        <f>'DATA Conservative'!L118*'DATA Conservative'!L98/1000</f>
        <v>0.126</v>
      </c>
      <c r="I70" s="160">
        <f>'DATA Conservative'!M118*'DATA Conservative'!M98/1000</f>
        <v>0.17992799999999998</v>
      </c>
      <c r="J70" s="160">
        <f>'DATA Conservative'!N118*'DATA Conservative'!N98/1000</f>
        <v>0.25693718399999993</v>
      </c>
      <c r="K70" s="160">
        <f>'DATA Conservative'!O118*'DATA Conservative'!O98/1000</f>
        <v>0.36690629875199987</v>
      </c>
      <c r="L70" s="161">
        <f>'DATA Conservative'!P118*'DATA Conservative'!P98/1000</f>
        <v>0.5239421946178558</v>
      </c>
      <c r="M70" s="159">
        <f>'DATA Conservative'!Q118*'DATA Conservative'!Q98/1000</f>
        <v>0.7481894539142981</v>
      </c>
      <c r="N70" s="161">
        <f>'DATA Conservative'!R118*'DATA Conservative'!R98/1000</f>
        <v>1.0684145401896177</v>
      </c>
      <c r="O70" s="159">
        <f>'DATA Conservative'!S118*'DATA Conservative'!S98/1000</f>
        <v>1.2096589424026851</v>
      </c>
      <c r="P70" s="160">
        <f>'DATA Conservative'!T118*'DATA Conservative'!T98/1000</f>
        <v>1.3695758545883203</v>
      </c>
      <c r="Q70" s="160">
        <f>'DATA Conservative'!U118*'DATA Conservative'!U98/1000</f>
        <v>1.5506337825648964</v>
      </c>
      <c r="R70" s="160">
        <f>'DATA Conservative'!V118*'DATA Conservative'!V98/1000</f>
        <v>1.7556275686199758</v>
      </c>
      <c r="S70" s="161">
        <f>'DATA Conservative'!W118*'DATA Conservative'!W98/1000</f>
        <v>1.9877215331915368</v>
      </c>
    </row>
    <row r="71" spans="1:19" ht="15" customHeight="1">
      <c r="A71" s="155" t="s">
        <v>33</v>
      </c>
      <c r="B71" s="159">
        <f>'DATA Conservative'!F119*'DATA Conservative'!F99/1000</f>
        <v>0.2690797285117256</v>
      </c>
      <c r="C71" s="160">
        <f>'DATA Conservative'!G119*'DATA Conservative'!G99/1000</f>
        <v>0.4843435113211062</v>
      </c>
      <c r="D71" s="160">
        <f>'DATA Conservative'!H119*'DATA Conservative'!H99/1000</f>
        <v>0.8718183203779911</v>
      </c>
      <c r="E71" s="160">
        <f>'DATA Conservative'!I119*'DATA Conservative'!I99/1000</f>
        <v>1.5692729766803841</v>
      </c>
      <c r="F71" s="160">
        <f>'DATA Conservative'!J119*'DATA Conservative'!J99/1000</f>
        <v>2.8246913580246913</v>
      </c>
      <c r="G71" s="160">
        <f>'DATA Conservative'!K119*'DATA Conservative'!K99/1000</f>
        <v>5.084444444444444</v>
      </c>
      <c r="H71" s="160">
        <f>'DATA Conservative'!L119*'DATA Conservative'!L99/1000</f>
        <v>9.152</v>
      </c>
      <c r="I71" s="160">
        <f>'DATA Conservative'!M119*'DATA Conservative'!M99/1000</f>
        <v>14.00256</v>
      </c>
      <c r="J71" s="160">
        <f>'DATA Conservative'!N119*'DATA Conservative'!N99/1000</f>
        <v>21.423916800000004</v>
      </c>
      <c r="K71" s="160">
        <f>'DATA Conservative'!O119*'DATA Conservative'!O99/1000</f>
        <v>32.778592704000005</v>
      </c>
      <c r="L71" s="161">
        <f>'DATA Conservative'!P119*'DATA Conservative'!P99/1000</f>
        <v>50.15124683712</v>
      </c>
      <c r="M71" s="159">
        <f>'DATA Conservative'!Q119*'DATA Conservative'!Q99/1000</f>
        <v>71.61598048340736</v>
      </c>
      <c r="N71" s="161">
        <f>'DATA Conservative'!R119*'DATA Conservative'!R99/1000</f>
        <v>102.2676201303057</v>
      </c>
      <c r="O71" s="159">
        <f>'DATA Conservative'!S119*'DATA Conservative'!S99/1000</f>
        <v>125.17556703949417</v>
      </c>
      <c r="P71" s="160">
        <f>'DATA Conservative'!T119*'DATA Conservative'!T99/1000</f>
        <v>153.21489405634085</v>
      </c>
      <c r="Q71" s="160">
        <f>'DATA Conservative'!U119*'DATA Conservative'!U99/1000</f>
        <v>187.5350303249612</v>
      </c>
      <c r="R71" s="160">
        <f>'DATA Conservative'!V119*'DATA Conservative'!V99/1000</f>
        <v>229.5428771177525</v>
      </c>
      <c r="S71" s="161">
        <f>'DATA Conservative'!W119*'DATA Conservative'!W99/1000</f>
        <v>280.96048159212904</v>
      </c>
    </row>
    <row r="72" spans="1:19" ht="15" customHeight="1">
      <c r="A72" s="155" t="s">
        <v>101</v>
      </c>
      <c r="B72" s="159">
        <f>'DATA Conservative'!F120*'DATA Conservative'!F100/1000</f>
        <v>26.925291174243004</v>
      </c>
      <c r="C72" s="160">
        <f>'DATA Conservative'!G120*'DATA Conservative'!G100/1000</f>
        <v>33.27965989136435</v>
      </c>
      <c r="D72" s="160">
        <f>'DATA Conservative'!H120*'DATA Conservative'!H100/1000</f>
        <v>41.133659625726345</v>
      </c>
      <c r="E72" s="160">
        <f>'DATA Conservative'!I120*'DATA Conservative'!I100/1000</f>
        <v>50.841203297397755</v>
      </c>
      <c r="F72" s="160">
        <f>'DATA Conservative'!J120*'DATA Conservative'!J100/1000</f>
        <v>62.83972727558363</v>
      </c>
      <c r="G72" s="160">
        <f>'DATA Conservative'!K120*'DATA Conservative'!K100/1000</f>
        <v>77.66990291262135</v>
      </c>
      <c r="H72" s="160">
        <f>'DATA Conservative'!L120*'DATA Conservative'!L100/1000</f>
        <v>96</v>
      </c>
      <c r="I72" s="160">
        <f>'DATA Conservative'!M120*'DATA Conservative'!M100/1000</f>
        <v>113.71199999999999</v>
      </c>
      <c r="J72" s="160">
        <f>'DATA Conservative'!N120*'DATA Conservative'!N100/1000</f>
        <v>134.691864</v>
      </c>
      <c r="K72" s="160">
        <f>'DATA Conservative'!O120*'DATA Conservative'!O100/1000</f>
        <v>159.54251290799996</v>
      </c>
      <c r="L72" s="161">
        <f>'DATA Conservative'!P120*'DATA Conservative'!P100/1000</f>
        <v>188.97810653952598</v>
      </c>
      <c r="M72" s="159">
        <f>'DATA Conservative'!Q120*'DATA Conservative'!Q100/1000</f>
        <v>223.84456719606854</v>
      </c>
      <c r="N72" s="161">
        <f>'DATA Conservative'!R120*'DATA Conservative'!R100/1000</f>
        <v>265.1438898437432</v>
      </c>
      <c r="O72" s="159">
        <f>'DATA Conservative'!S120*'DATA Conservative'!S100/1000</f>
        <v>314.06293751991376</v>
      </c>
      <c r="P72" s="160">
        <f>'DATA Conservative'!T120*'DATA Conservative'!T100/1000</f>
        <v>372.0075494923378</v>
      </c>
      <c r="Q72" s="160">
        <f>'DATA Conservative'!U120*'DATA Conservative'!U100/1000</f>
        <v>440.6429423736741</v>
      </c>
      <c r="R72" s="160">
        <f>'DATA Conservative'!V120*'DATA Conservative'!V100/1000</f>
        <v>521.941565241617</v>
      </c>
      <c r="S72" s="161">
        <f>'DATA Conservative'!W120*'DATA Conservative'!W100/1000</f>
        <v>618.2397840286952</v>
      </c>
    </row>
    <row r="73" spans="1:19" ht="15" customHeight="1">
      <c r="A73" s="155" t="s">
        <v>16</v>
      </c>
      <c r="B73" s="159">
        <f>'DATA Conservative'!F121*'DATA Conservative'!F101/1000</f>
        <v>10.680749914905551</v>
      </c>
      <c r="C73" s="160">
        <f>'DATA Conservative'!G121*'DATA Conservative'!G101/1000</f>
        <v>11.748824906396107</v>
      </c>
      <c r="D73" s="160">
        <f>'DATA Conservative'!H121*'DATA Conservative'!H101/1000</f>
        <v>12.92370739703572</v>
      </c>
      <c r="E73" s="160">
        <f>'DATA Conservative'!I121*'DATA Conservative'!I101/1000</f>
        <v>14.216078136739291</v>
      </c>
      <c r="F73" s="160">
        <f>'DATA Conservative'!J121*'DATA Conservative'!J101/1000</f>
        <v>15.637685950413221</v>
      </c>
      <c r="G73" s="160">
        <f>'DATA Conservative'!K121*'DATA Conservative'!K101/1000</f>
        <v>17.201454545454546</v>
      </c>
      <c r="H73" s="160">
        <f>'DATA Conservative'!L121*'DATA Conservative'!L101/1000</f>
        <v>18.9216</v>
      </c>
      <c r="I73" s="160">
        <f>'DATA Conservative'!M121*'DATA Conservative'!M101/1000</f>
        <v>22.705920000000003</v>
      </c>
      <c r="J73" s="160">
        <f>'DATA Conservative'!N121*'DATA Conservative'!N101/1000</f>
        <v>27.247104</v>
      </c>
      <c r="K73" s="160">
        <f>'DATA Conservative'!O121*'DATA Conservative'!O101/1000</f>
        <v>32.6965248</v>
      </c>
      <c r="L73" s="161">
        <f>'DATA Conservative'!P121*'DATA Conservative'!P101/1000</f>
        <v>39.235829759999994</v>
      </c>
      <c r="M73" s="159">
        <f>'DATA Conservative'!Q121*'DATA Conservative'!Q101/1000</f>
        <v>47.08299571199999</v>
      </c>
      <c r="N73" s="161">
        <f>'DATA Conservative'!R121*'DATA Conservative'!R101/1000</f>
        <v>56.499594854399994</v>
      </c>
      <c r="O73" s="159">
        <f>'DATA Conservative'!S121*'DATA Conservative'!S101/1000</f>
        <v>67.79951382527999</v>
      </c>
      <c r="P73" s="160">
        <f>'DATA Conservative'!T121*'DATA Conservative'!T101/1000</f>
        <v>81.35941659033598</v>
      </c>
      <c r="Q73" s="160">
        <f>'DATA Conservative'!U121*'DATA Conservative'!U101/1000</f>
        <v>97.63129990840318</v>
      </c>
      <c r="R73" s="160">
        <f>'DATA Conservative'!V121*'DATA Conservative'!V101/1000</f>
        <v>117.15755989008379</v>
      </c>
      <c r="S73" s="161">
        <f>'DATA Conservative'!W121*'DATA Conservative'!W101/1000</f>
        <v>140.58907186810055</v>
      </c>
    </row>
    <row r="74" spans="1:19" ht="15" customHeight="1">
      <c r="A74" s="151" t="s">
        <v>328</v>
      </c>
      <c r="B74" s="368">
        <f>SUM(B57:B73)</f>
        <v>968.5805814938881</v>
      </c>
      <c r="C74" s="366">
        <f>SUM(C57:C73)</f>
        <v>986.0228772492006</v>
      </c>
      <c r="D74" s="366">
        <f>SUM(D57:D73)</f>
        <v>1007.820057880764</v>
      </c>
      <c r="E74" s="366">
        <f>SUM(E57:E73)</f>
        <v>1034.852713967025</v>
      </c>
      <c r="F74" s="366">
        <f>SUM(F57:F73)</f>
        <v>1068.2900531365021</v>
      </c>
      <c r="G74" s="366">
        <f aca="true" t="shared" si="11" ref="G74:H74">SUM(G57:G73)</f>
        <v>1109.7189560075742</v>
      </c>
      <c r="H74" s="367">
        <f t="shared" si="11"/>
        <v>1161.3536</v>
      </c>
      <c r="I74" s="366">
        <f>SUM(I57:I73)</f>
        <v>1233.0597222499998</v>
      </c>
      <c r="J74" s="366">
        <f aca="true" t="shared" si="12" ref="J74:K74">SUM(J57:J73)</f>
        <v>1305.6494592425374</v>
      </c>
      <c r="K74" s="366">
        <f t="shared" si="12"/>
        <v>1391.7748660896311</v>
      </c>
      <c r="L74" s="369">
        <f>SUM(L57:L73)</f>
        <v>1492.9651577509464</v>
      </c>
      <c r="M74" s="368">
        <f>SUM(M57:M73)</f>
        <v>1608.674883941877</v>
      </c>
      <c r="N74" s="369">
        <f>SUM(N57:N73)</f>
        <v>1745.6197090426901</v>
      </c>
      <c r="O74" s="368">
        <f aca="true" t="shared" si="13" ref="O74:S74">SUM(O57:O73)</f>
        <v>1887.4251282107905</v>
      </c>
      <c r="P74" s="366">
        <f t="shared" si="13"/>
        <v>2050.1073561362987</v>
      </c>
      <c r="Q74" s="366">
        <f t="shared" si="13"/>
        <v>2237.3288406248817</v>
      </c>
      <c r="R74" s="366">
        <f t="shared" si="13"/>
        <v>2453.4476227317655</v>
      </c>
      <c r="S74" s="369">
        <f t="shared" si="13"/>
        <v>2703.65415800365</v>
      </c>
    </row>
    <row r="75" spans="1:18" ht="15" customHeight="1">
      <c r="A75" s="374"/>
      <c r="B75" s="375"/>
      <c r="C75" s="375"/>
      <c r="D75" s="375"/>
      <c r="E75" s="375"/>
      <c r="F75" s="375"/>
      <c r="G75" s="375"/>
      <c r="H75" s="376"/>
      <c r="I75" s="375"/>
      <c r="J75" s="375"/>
      <c r="K75" s="375"/>
      <c r="L75" s="375"/>
      <c r="M75" s="375"/>
      <c r="N75" s="375"/>
      <c r="O75" s="371"/>
      <c r="P75" s="371"/>
      <c r="Q75" s="385"/>
      <c r="R75" s="371"/>
    </row>
    <row r="76" spans="1:18" ht="15" customHeight="1">
      <c r="A76" s="374"/>
      <c r="B76" s="375"/>
      <c r="C76" s="375"/>
      <c r="D76" s="375"/>
      <c r="E76" s="375"/>
      <c r="F76" s="375"/>
      <c r="G76" s="375"/>
      <c r="H76" s="376"/>
      <c r="I76" s="375"/>
      <c r="J76" s="375"/>
      <c r="K76" s="375"/>
      <c r="L76" s="375"/>
      <c r="M76" s="375"/>
      <c r="N76" s="375"/>
      <c r="O76" s="371"/>
      <c r="P76" s="371"/>
      <c r="Q76" s="385"/>
      <c r="R76" s="371"/>
    </row>
    <row r="77" spans="1:19" ht="30" customHeight="1">
      <c r="A77" s="151" t="s">
        <v>156</v>
      </c>
      <c r="B77" s="153">
        <v>2013</v>
      </c>
      <c r="C77" s="152">
        <v>2014</v>
      </c>
      <c r="D77" s="152">
        <v>2015</v>
      </c>
      <c r="E77" s="152">
        <v>2016</v>
      </c>
      <c r="F77" s="152">
        <v>2017</v>
      </c>
      <c r="G77" s="152">
        <v>2018</v>
      </c>
      <c r="H77" s="386">
        <v>2019</v>
      </c>
      <c r="I77" s="152">
        <v>2020</v>
      </c>
      <c r="J77" s="152">
        <v>2021</v>
      </c>
      <c r="K77" s="152">
        <v>2022</v>
      </c>
      <c r="L77" s="154">
        <v>2023</v>
      </c>
      <c r="M77" s="153">
        <v>2024</v>
      </c>
      <c r="N77" s="154">
        <v>2025</v>
      </c>
      <c r="O77" s="153">
        <v>2026</v>
      </c>
      <c r="P77" s="152">
        <v>2027</v>
      </c>
      <c r="Q77" s="152">
        <v>2028</v>
      </c>
      <c r="R77" s="152">
        <v>2029</v>
      </c>
      <c r="S77" s="154">
        <v>2030</v>
      </c>
    </row>
    <row r="78" spans="1:19" ht="15" customHeight="1">
      <c r="A78" s="155" t="s">
        <v>158</v>
      </c>
      <c r="B78" s="159">
        <f>'DATA Conservative'!F129</f>
        <v>342.72</v>
      </c>
      <c r="C78" s="160">
        <f>'DATA Conservative'!G129</f>
        <v>388.8</v>
      </c>
      <c r="D78" s="160">
        <f>'DATA Conservative'!H129</f>
        <v>506.48275862068965</v>
      </c>
      <c r="E78" s="160">
        <f>'DATA Conservative'!I129</f>
        <v>587.52</v>
      </c>
      <c r="F78" s="160">
        <f>'DATA Conservative'!J129</f>
        <v>702</v>
      </c>
      <c r="G78" s="160">
        <f>'DATA Conservative'!K129</f>
        <v>807.3</v>
      </c>
      <c r="H78" s="160">
        <f>'DATA Conservative'!L129</f>
        <v>928.3949999999999</v>
      </c>
      <c r="I78" s="160">
        <f>'DATA Conservative'!M129</f>
        <v>1067.6542499999998</v>
      </c>
      <c r="J78" s="160">
        <f>'DATA Conservative'!N129</f>
        <v>1227.8023874999997</v>
      </c>
      <c r="K78" s="160">
        <f>'DATA Conservative'!O129</f>
        <v>1411.9727456249996</v>
      </c>
      <c r="L78" s="161">
        <f>'DATA Conservative'!P129</f>
        <v>1623.7686574687493</v>
      </c>
      <c r="M78" s="159">
        <f>'DATA Conservative'!Q129</f>
        <v>1867.3339560890615</v>
      </c>
      <c r="N78" s="161">
        <f>'DATA Conservative'!R129</f>
        <v>2147.4340495024207</v>
      </c>
      <c r="O78" s="159">
        <f>'DATA Conservative'!S129</f>
        <v>2340.703113957639</v>
      </c>
      <c r="P78" s="160">
        <f>'DATA Conservative'!T129</f>
        <v>2551.3663942138264</v>
      </c>
      <c r="Q78" s="160">
        <f>'DATA Conservative'!U129</f>
        <v>2780.989369693071</v>
      </c>
      <c r="R78" s="160">
        <f>'DATA Conservative'!V129</f>
        <v>3031.2784129654474</v>
      </c>
      <c r="S78" s="161">
        <f>'DATA Conservative'!W129</f>
        <v>3304.093470132338</v>
      </c>
    </row>
    <row r="79" spans="1:19" ht="15" customHeight="1">
      <c r="A79" s="155" t="s">
        <v>161</v>
      </c>
      <c r="B79" s="159">
        <f>'DATA Conservative'!F130</f>
        <v>250.92</v>
      </c>
      <c r="C79" s="160">
        <f>'DATA Conservative'!G130</f>
        <v>302.4</v>
      </c>
      <c r="D79" s="160">
        <f>'DATA Conservative'!H130</f>
        <v>403.2</v>
      </c>
      <c r="E79" s="160">
        <f>'DATA Conservative'!I130</f>
        <v>483.84</v>
      </c>
      <c r="F79" s="160">
        <f>'DATA Conservative'!J130</f>
        <v>629</v>
      </c>
      <c r="G79" s="160">
        <f>'DATA Conservative'!K130</f>
        <v>823.99</v>
      </c>
      <c r="H79" s="160">
        <f>'DATA Conservative'!L130</f>
        <v>1079.4269000000002</v>
      </c>
      <c r="I79" s="160">
        <f>'DATA Conservative'!M130</f>
        <v>1414.0492390000002</v>
      </c>
      <c r="J79" s="160">
        <f>'DATA Conservative'!N130</f>
        <v>1852.4045030900004</v>
      </c>
      <c r="K79" s="160">
        <f>'DATA Conservative'!O130</f>
        <v>2426.649899047901</v>
      </c>
      <c r="L79" s="161">
        <f>'DATA Conservative'!P130</f>
        <v>3178.9113677527503</v>
      </c>
      <c r="M79" s="159">
        <f>'DATA Conservative'!Q130</f>
        <v>4164.373891756103</v>
      </c>
      <c r="N79" s="161">
        <f>'DATA Conservative'!R130</f>
        <v>5455.329798200495</v>
      </c>
      <c r="O79" s="159">
        <f>'DATA Conservative'!S130</f>
        <v>6164.522671966559</v>
      </c>
      <c r="P79" s="160">
        <f>'DATA Conservative'!T130</f>
        <v>6965.910619322211</v>
      </c>
      <c r="Q79" s="160">
        <f>'DATA Conservative'!U130</f>
        <v>7871.4789998340975</v>
      </c>
      <c r="R79" s="160">
        <f>'DATA Conservative'!V130</f>
        <v>8894.771269812529</v>
      </c>
      <c r="S79" s="161">
        <f>'DATA Conservative'!W130</f>
        <v>10051.091534888157</v>
      </c>
    </row>
    <row r="80" spans="1:19" ht="15" customHeight="1">
      <c r="A80" s="155" t="s">
        <v>163</v>
      </c>
      <c r="B80" s="159">
        <f>'DATA Conservative'!F131</f>
        <v>593.64</v>
      </c>
      <c r="C80" s="160">
        <f>'DATA Conservative'!G131</f>
        <v>691.2</v>
      </c>
      <c r="D80" s="160">
        <f>'DATA Conservative'!H131</f>
        <v>909.6827586206896</v>
      </c>
      <c r="E80" s="160">
        <f>'DATA Conservative'!I131</f>
        <v>1071.36</v>
      </c>
      <c r="F80" s="160">
        <f>'DATA Conservative'!J131</f>
        <v>1331</v>
      </c>
      <c r="G80" s="160">
        <f>'DATA Conservative'!K131</f>
        <v>1631.29</v>
      </c>
      <c r="H80" s="160">
        <f>'DATA Conservative'!L131</f>
        <v>2007.8219</v>
      </c>
      <c r="I80" s="160">
        <f>'DATA Conservative'!M131</f>
        <v>2481.703489</v>
      </c>
      <c r="J80" s="160">
        <f>'DATA Conservative'!N131</f>
        <v>3080.20689059</v>
      </c>
      <c r="K80" s="160">
        <f>'DATA Conservative'!O131</f>
        <v>3838.6226446729006</v>
      </c>
      <c r="L80" s="161">
        <f>'DATA Conservative'!P131</f>
        <v>4802.6800252215</v>
      </c>
      <c r="M80" s="159">
        <f>'DATA Conservative'!Q131</f>
        <v>6031.707847845165</v>
      </c>
      <c r="N80" s="161">
        <f>'DATA Conservative'!R131</f>
        <v>7602.763847702916</v>
      </c>
      <c r="O80" s="159">
        <f>'DATA Conservative'!S131</f>
        <v>8505.225785924198</v>
      </c>
      <c r="P80" s="160">
        <f>'DATA Conservative'!T131</f>
        <v>9517.277013536037</v>
      </c>
      <c r="Q80" s="160">
        <f>'DATA Conservative'!U131</f>
        <v>10652.468369527169</v>
      </c>
      <c r="R80" s="160">
        <f>'DATA Conservative'!V131</f>
        <v>11926.049682777975</v>
      </c>
      <c r="S80" s="161">
        <f>'DATA Conservative'!W131</f>
        <v>13355.185005020496</v>
      </c>
    </row>
    <row r="81" spans="1:19" ht="15" customHeight="1">
      <c r="A81" s="155" t="s">
        <v>165</v>
      </c>
      <c r="B81" s="159">
        <f>'DATA Conservative'!F132</f>
        <v>16</v>
      </c>
      <c r="C81" s="160">
        <f>'DATA Conservative'!G132</f>
        <v>28.799999999999955</v>
      </c>
      <c r="D81" s="160">
        <f>'DATA Conservative'!H132</f>
        <v>58.9041095890411</v>
      </c>
      <c r="E81" s="160">
        <f>'DATA Conservative'!I132</f>
        <v>86</v>
      </c>
      <c r="F81" s="160">
        <f>'DATA Conservative'!J132</f>
        <v>133</v>
      </c>
      <c r="G81" s="160">
        <f>'DATA Conservative'!K132</f>
        <v>228</v>
      </c>
      <c r="H81" s="160">
        <f>'DATA Conservative'!L132</f>
        <v>348</v>
      </c>
      <c r="I81" s="160">
        <f>'DATA Conservative'!M132</f>
        <v>476.76000000000005</v>
      </c>
      <c r="J81" s="160">
        <f>'DATA Conservative'!N132</f>
        <v>653.1612000000001</v>
      </c>
      <c r="K81" s="160">
        <f>'DATA Conservative'!O132</f>
        <v>894.8308440000002</v>
      </c>
      <c r="L81" s="161">
        <f>'DATA Conservative'!P132</f>
        <v>1225.9182562800004</v>
      </c>
      <c r="M81" s="159">
        <f>'DATA Conservative'!Q132</f>
        <v>1679.5080111036007</v>
      </c>
      <c r="N81" s="161">
        <f>'DATA Conservative'!R132</f>
        <v>2300.9259752119333</v>
      </c>
      <c r="O81" s="159">
        <f>'DATA Conservative'!S132</f>
        <v>2830.138949510678</v>
      </c>
      <c r="P81" s="160">
        <f>'DATA Conservative'!T132</f>
        <v>3481.0709078981336</v>
      </c>
      <c r="Q81" s="160">
        <f>'DATA Conservative'!U132</f>
        <v>4281.717216714705</v>
      </c>
      <c r="R81" s="160">
        <f>'DATA Conservative'!V132</f>
        <v>5266.512176559087</v>
      </c>
      <c r="S81" s="161">
        <f>'DATA Conservative'!W132</f>
        <v>6477.809977167676</v>
      </c>
    </row>
    <row r="82" spans="1:19" s="143" customFormat="1" ht="15" customHeight="1">
      <c r="A82" s="197" t="s">
        <v>166</v>
      </c>
      <c r="B82" s="201">
        <f>'DATA Conservative'!F133</f>
        <v>609.64</v>
      </c>
      <c r="C82" s="202">
        <f>'DATA Conservative'!G133</f>
        <v>720</v>
      </c>
      <c r="D82" s="202">
        <f>'DATA Conservative'!H133</f>
        <v>968.5868682097307</v>
      </c>
      <c r="E82" s="202">
        <f>'DATA Conservative'!I133</f>
        <v>1157.36</v>
      </c>
      <c r="F82" s="202">
        <f>'DATA Conservative'!J133</f>
        <v>1464</v>
      </c>
      <c r="G82" s="202">
        <f>'DATA Conservative'!K133</f>
        <v>1859.29</v>
      </c>
      <c r="H82" s="202">
        <f>'DATA Conservative'!L133</f>
        <v>2355.8219</v>
      </c>
      <c r="I82" s="202">
        <f>'DATA Conservative'!M133</f>
        <v>2958.463489</v>
      </c>
      <c r="J82" s="202">
        <f>'DATA Conservative'!N133</f>
        <v>3733.36809059</v>
      </c>
      <c r="K82" s="202">
        <f>'DATA Conservative'!O133</f>
        <v>4733.453488672901</v>
      </c>
      <c r="L82" s="259">
        <f>'DATA Conservative'!P133</f>
        <v>6028.5982815015</v>
      </c>
      <c r="M82" s="201">
        <f>'DATA Conservative'!Q133</f>
        <v>7711.215858948765</v>
      </c>
      <c r="N82" s="259">
        <f>'DATA Conservative'!R133</f>
        <v>9903.68982291485</v>
      </c>
      <c r="O82" s="201">
        <f>'DATA Conservative'!S133</f>
        <v>11335.364735434876</v>
      </c>
      <c r="P82" s="202">
        <f>'DATA Conservative'!T133</f>
        <v>12998.347921434171</v>
      </c>
      <c r="Q82" s="202">
        <f>'DATA Conservative'!U133</f>
        <v>14934.185586241874</v>
      </c>
      <c r="R82" s="202">
        <f>'DATA Conservative'!V133</f>
        <v>17192.56185933706</v>
      </c>
      <c r="S82" s="259">
        <f>'DATA Conservative'!W133</f>
        <v>19832.99498218817</v>
      </c>
    </row>
    <row r="83" spans="1:19" s="143" customFormat="1" ht="15" customHeight="1">
      <c r="A83" s="155" t="s">
        <v>167</v>
      </c>
      <c r="B83" s="159">
        <f>'DATA Conservative'!F134</f>
        <v>698.0325120000001</v>
      </c>
      <c r="C83" s="160">
        <f>'DATA Conservative'!G134</f>
        <v>1008.032</v>
      </c>
      <c r="D83" s="160">
        <f>'DATA Conservative'!H134</f>
        <v>1598.0000000000002</v>
      </c>
      <c r="E83" s="160">
        <f>'DATA Conservative'!I134</f>
        <v>2652</v>
      </c>
      <c r="F83" s="160">
        <f>'DATA Conservative'!J134</f>
        <v>3800.9790000000003</v>
      </c>
      <c r="G83" s="160">
        <f>'DATA Conservative'!K134</f>
        <v>5189.213484</v>
      </c>
      <c r="H83" s="160">
        <f>'DATA Conservative'!L134</f>
        <v>6755.416529588999</v>
      </c>
      <c r="I83" s="160">
        <f>'DATA Conservative'!M134</f>
        <v>8782.041488465698</v>
      </c>
      <c r="J83" s="160">
        <f>'DATA Conservative'!N134</f>
        <v>11416.653935005408</v>
      </c>
      <c r="K83" s="160">
        <f>'DATA Conservative'!O134</f>
        <v>14841.650115507031</v>
      </c>
      <c r="L83" s="161">
        <f>'DATA Conservative'!P134</f>
        <v>19294.14515015914</v>
      </c>
      <c r="M83" s="159">
        <f>'DATA Conservative'!Q134</f>
        <v>25082.388695206882</v>
      </c>
      <c r="N83" s="161">
        <f>'DATA Conservative'!R134</f>
        <v>32607.10530376895</v>
      </c>
      <c r="O83" s="159">
        <f>'DATA Conservative'!S134</f>
        <v>42389.23689489964</v>
      </c>
      <c r="P83" s="160">
        <f>'DATA Conservative'!T134</f>
        <v>55106.00796336953</v>
      </c>
      <c r="Q83" s="160">
        <f>'DATA Conservative'!U134</f>
        <v>71637.81035238039</v>
      </c>
      <c r="R83" s="160">
        <f>'DATA Conservative'!V134</f>
        <v>93129.1534580945</v>
      </c>
      <c r="S83" s="161">
        <f>'DATA Conservative'!W134</f>
        <v>121067.89949552286</v>
      </c>
    </row>
    <row r="84" spans="1:19" s="143" customFormat="1" ht="15" customHeight="1">
      <c r="A84" s="155" t="s">
        <v>168</v>
      </c>
      <c r="B84" s="159">
        <f>'DATA Conservative'!F135</f>
        <v>2001.9674879999998</v>
      </c>
      <c r="C84" s="160">
        <f>'DATA Conservative'!G135</f>
        <v>2391.968</v>
      </c>
      <c r="D84" s="160">
        <f>'DATA Conservative'!H135</f>
        <v>3102</v>
      </c>
      <c r="E84" s="160">
        <f>'DATA Conservative'!I135</f>
        <v>4148</v>
      </c>
      <c r="F84" s="160">
        <f>'DATA Conservative'!J135</f>
        <v>5299.021</v>
      </c>
      <c r="G84" s="160">
        <f>'DATA Conservative'!K135</f>
        <v>6410.786516</v>
      </c>
      <c r="H84" s="160">
        <f>'DATA Conservative'!L135</f>
        <v>7344.583470411001</v>
      </c>
      <c r="I84" s="160">
        <f>'DATA Conservative'!M135</f>
        <v>8299.379321564431</v>
      </c>
      <c r="J84" s="160">
        <f>'DATA Conservative'!N135</f>
        <v>9378.298633367805</v>
      </c>
      <c r="K84" s="160">
        <f>'DATA Conservative'!O135</f>
        <v>10597.477455705619</v>
      </c>
      <c r="L84" s="161">
        <f>'DATA Conservative'!P135</f>
        <v>11975.149524947348</v>
      </c>
      <c r="M84" s="159">
        <f>'DATA Conservative'!Q135</f>
        <v>13531.918963190503</v>
      </c>
      <c r="N84" s="161">
        <f>'DATA Conservative'!R135</f>
        <v>15291.068428405266</v>
      </c>
      <c r="O84" s="159">
        <f>'DATA Conservative'!S135</f>
        <v>17278.90732409795</v>
      </c>
      <c r="P84" s="160">
        <f>'DATA Conservative'!T135</f>
        <v>19525.16527623068</v>
      </c>
      <c r="Q84" s="160">
        <f>'DATA Conservative'!U135</f>
        <v>22063.436762140667</v>
      </c>
      <c r="R84" s="160">
        <f>'DATA Conservative'!V135</f>
        <v>24931.68354121895</v>
      </c>
      <c r="S84" s="161">
        <f>'DATA Conservative'!W135</f>
        <v>28172.80240157741</v>
      </c>
    </row>
    <row r="85" spans="1:19" s="143" customFormat="1" ht="15" customHeight="1">
      <c r="A85" s="197" t="s">
        <v>169</v>
      </c>
      <c r="B85" s="201">
        <f>'DATA Conservative'!F136</f>
        <v>2700</v>
      </c>
      <c r="C85" s="202">
        <f>'DATA Conservative'!G136</f>
        <v>3400</v>
      </c>
      <c r="D85" s="202">
        <f>'DATA Conservative'!H136</f>
        <v>4700</v>
      </c>
      <c r="E85" s="202">
        <f>'DATA Conservative'!I136</f>
        <v>6800</v>
      </c>
      <c r="F85" s="202">
        <f>'DATA Conservative'!J136</f>
        <v>9100</v>
      </c>
      <c r="G85" s="202">
        <f>'DATA Conservative'!K136</f>
        <v>11600</v>
      </c>
      <c r="H85" s="202">
        <f>'DATA Conservative'!L136</f>
        <v>14100</v>
      </c>
      <c r="I85" s="202">
        <f>'DATA Conservative'!M136</f>
        <v>17081.42081003013</v>
      </c>
      <c r="J85" s="202">
        <f>'DATA Conservative'!N136</f>
        <v>20794.952568373214</v>
      </c>
      <c r="K85" s="202">
        <f>'DATA Conservative'!O136</f>
        <v>25439.12757121265</v>
      </c>
      <c r="L85" s="259">
        <f>'DATA Conservative'!P136</f>
        <v>31269.29467510649</v>
      </c>
      <c r="M85" s="201">
        <f>'DATA Conservative'!Q136</f>
        <v>38614.30765839739</v>
      </c>
      <c r="N85" s="259">
        <f>'DATA Conservative'!R136</f>
        <v>47898.17373217421</v>
      </c>
      <c r="O85" s="201">
        <f>'DATA Conservative'!S136</f>
        <v>59668.144218997586</v>
      </c>
      <c r="P85" s="202">
        <f>'DATA Conservative'!T136</f>
        <v>74631.1732396002</v>
      </c>
      <c r="Q85" s="202">
        <f>'DATA Conservative'!U136</f>
        <v>93701.24711452106</v>
      </c>
      <c r="R85" s="202">
        <f>'DATA Conservative'!V136</f>
        <v>118060.83699931345</v>
      </c>
      <c r="S85" s="259">
        <f>'DATA Conservative'!W136</f>
        <v>149240.70189710025</v>
      </c>
    </row>
    <row r="86" spans="1:14" s="143" customFormat="1" ht="15" customHeight="1">
      <c r="A86" s="236"/>
      <c r="B86" s="238"/>
      <c r="C86" s="238"/>
      <c r="D86" s="238"/>
      <c r="E86" s="238"/>
      <c r="F86" s="238"/>
      <c r="G86" s="238"/>
      <c r="H86" s="387"/>
      <c r="I86" s="238"/>
      <c r="J86" s="238"/>
      <c r="K86" s="238"/>
      <c r="L86" s="238"/>
      <c r="M86" s="238"/>
      <c r="N86" s="238"/>
    </row>
    <row r="87" spans="1:19" s="143" customFormat="1" ht="30" customHeight="1">
      <c r="A87" s="151" t="s">
        <v>331</v>
      </c>
      <c r="B87" s="153">
        <v>2013</v>
      </c>
      <c r="C87" s="152">
        <v>2014</v>
      </c>
      <c r="D87" s="152">
        <v>2015</v>
      </c>
      <c r="E87" s="152">
        <v>2016</v>
      </c>
      <c r="F87" s="152">
        <v>2017</v>
      </c>
      <c r="G87" s="152">
        <v>2018</v>
      </c>
      <c r="H87" s="386">
        <v>2019</v>
      </c>
      <c r="I87" s="152">
        <v>2020</v>
      </c>
      <c r="J87" s="152">
        <v>2021</v>
      </c>
      <c r="K87" s="152">
        <v>2022</v>
      </c>
      <c r="L87" s="154">
        <v>2023</v>
      </c>
      <c r="M87" s="153">
        <v>2024</v>
      </c>
      <c r="N87" s="154">
        <v>2025</v>
      </c>
      <c r="O87" s="153">
        <v>2026</v>
      </c>
      <c r="P87" s="152">
        <v>2027</v>
      </c>
      <c r="Q87" s="152">
        <v>2028</v>
      </c>
      <c r="R87" s="152">
        <v>2029</v>
      </c>
      <c r="S87" s="154">
        <v>2030</v>
      </c>
    </row>
    <row r="88" spans="1:19" s="143" customFormat="1" ht="15" customHeight="1">
      <c r="A88" s="272" t="s">
        <v>158</v>
      </c>
      <c r="B88" s="162">
        <f>'DATA Conservative'!F140*B78</f>
        <v>134.79379753086425</v>
      </c>
      <c r="C88" s="163">
        <f>'DATA Conservative'!G140*C78</f>
        <v>114.68800000000003</v>
      </c>
      <c r="D88" s="163">
        <f>'DATA Conservative'!H140*D78</f>
        <v>112.05149425287358</v>
      </c>
      <c r="E88" s="163">
        <f>'DATA Conservative'!I140*E78</f>
        <v>97.4848</v>
      </c>
      <c r="F88" s="163">
        <f>'DATA Conservative'!J140*F78</f>
        <v>87.36000000000001</v>
      </c>
      <c r="G88" s="163">
        <f>'DATA Conservative'!K140*G78</f>
        <v>75.348</v>
      </c>
      <c r="H88" s="163">
        <f>'DATA Conservative'!L140*H78</f>
        <v>64.98765</v>
      </c>
      <c r="I88" s="163">
        <f>'DATA Conservative'!M140*I78</f>
        <v>58.29392205</v>
      </c>
      <c r="J88" s="163">
        <f>'DATA Conservative'!N140*J78</f>
        <v>52.28964807884999</v>
      </c>
      <c r="K88" s="163">
        <f>'DATA Conservative'!O140*K78</f>
        <v>46.903814326728444</v>
      </c>
      <c r="L88" s="164">
        <f>'DATA Conservative'!P140*L78</f>
        <v>42.07272145107541</v>
      </c>
      <c r="M88" s="162">
        <f>'DATA Conservative'!Q140*M78</f>
        <v>37.739231141614646</v>
      </c>
      <c r="N88" s="164">
        <f>'DATA Conservative'!R140*N78</f>
        <v>33.85209033402833</v>
      </c>
      <c r="O88" s="162">
        <f>'DATA Conservative'!S140*O78</f>
        <v>30.994973909836347</v>
      </c>
      <c r="P88" s="163">
        <f>'DATA Conservative'!T140*P78</f>
        <v>28.37899811184616</v>
      </c>
      <c r="Q88" s="163">
        <f>'DATA Conservative'!U140*Q78</f>
        <v>25.983810671206342</v>
      </c>
      <c r="R88" s="163">
        <f>'DATA Conservative'!V140*R78</f>
        <v>23.790777050556528</v>
      </c>
      <c r="S88" s="164">
        <f>'DATA Conservative'!W140*S78</f>
        <v>21.78283546748956</v>
      </c>
    </row>
    <row r="89" spans="1:19" s="143" customFormat="1" ht="15" customHeight="1">
      <c r="A89" s="155" t="s">
        <v>161</v>
      </c>
      <c r="B89" s="159">
        <f>'DATA Conservative'!F141*B79</f>
        <v>98.68831604938273</v>
      </c>
      <c r="C89" s="160">
        <f>'DATA Conservative'!G141*C79</f>
        <v>89.20177777777779</v>
      </c>
      <c r="D89" s="160">
        <f>'DATA Conservative'!H141*D79</f>
        <v>89.20177777777779</v>
      </c>
      <c r="E89" s="160">
        <f>'DATA Conservative'!I141*E79</f>
        <v>80.28160000000001</v>
      </c>
      <c r="F89" s="160">
        <f>'DATA Conservative'!J141*F79</f>
        <v>78.27555555555556</v>
      </c>
      <c r="G89" s="160">
        <f>'DATA Conservative'!K141*G79</f>
        <v>76.90573333333334</v>
      </c>
      <c r="H89" s="160">
        <f>'DATA Conservative'!L141*H79</f>
        <v>75.55988300000001</v>
      </c>
      <c r="I89" s="160">
        <f>'DATA Conservative'!M141*I79</f>
        <v>77.20708844940002</v>
      </c>
      <c r="J89" s="160">
        <f>'DATA Conservative'!N141*J79</f>
        <v>78.89020297759696</v>
      </c>
      <c r="K89" s="160">
        <f>'DATA Conservative'!O141*K79</f>
        <v>80.61000940250858</v>
      </c>
      <c r="L89" s="161">
        <f>'DATA Conservative'!P141*L79</f>
        <v>82.36730760748327</v>
      </c>
      <c r="M89" s="159">
        <f>'DATA Conservative'!Q141*M79</f>
        <v>84.16291491332642</v>
      </c>
      <c r="N89" s="161">
        <f>'DATA Conservative'!R141*N79</f>
        <v>85.99766645843694</v>
      </c>
      <c r="O89" s="159">
        <f>'DATA Conservative'!S141*O79</f>
        <v>81.62898500234833</v>
      </c>
      <c r="P89" s="160">
        <f>'DATA Conservative'!T141*P79</f>
        <v>77.48223256422901</v>
      </c>
      <c r="Q89" s="160">
        <f>'DATA Conservative'!U141*Q79</f>
        <v>73.54613514996618</v>
      </c>
      <c r="R89" s="160">
        <f>'DATA Conservative'!V141*R79</f>
        <v>69.80999148434789</v>
      </c>
      <c r="S89" s="161">
        <f>'DATA Conservative'!W141*S79</f>
        <v>66.26364391694301</v>
      </c>
    </row>
    <row r="90" spans="1:19" s="143" customFormat="1" ht="15" customHeight="1">
      <c r="A90" s="178" t="s">
        <v>165</v>
      </c>
      <c r="B90" s="159">
        <f>'DATA Conservative'!F142*B81</f>
        <v>36.62109374999998</v>
      </c>
      <c r="C90" s="160">
        <f>'DATA Conservative'!G142*C81</f>
        <v>52.73437499999989</v>
      </c>
      <c r="D90" s="160">
        <f>'DATA Conservative'!H142*D81</f>
        <v>86.28531678082189</v>
      </c>
      <c r="E90" s="160">
        <f>'DATA Conservative'!I142*E81</f>
        <v>100.78124999999996</v>
      </c>
      <c r="F90" s="160">
        <f>'DATA Conservative'!J142*F81</f>
        <v>124.68749999999997</v>
      </c>
      <c r="G90" s="160">
        <f>'DATA Conservative'!K142*G81</f>
        <v>170.99999999999997</v>
      </c>
      <c r="H90" s="160">
        <f>'DATA Conservative'!L142*H81</f>
        <v>208.79999999999998</v>
      </c>
      <c r="I90" s="160">
        <f>'DATA Conservative'!M142*I81</f>
        <v>228.84480000000002</v>
      </c>
      <c r="J90" s="160">
        <f>'DATA Conservative'!N142*J81</f>
        <v>250.81390080000006</v>
      </c>
      <c r="K90" s="160">
        <f>'DATA Conservative'!O142*K81</f>
        <v>274.8920352768001</v>
      </c>
      <c r="L90" s="161">
        <f>'DATA Conservative'!P142*L81</f>
        <v>301.28167066337295</v>
      </c>
      <c r="M90" s="159">
        <f>'DATA Conservative'!Q142*M81</f>
        <v>330.2047110470568</v>
      </c>
      <c r="N90" s="161">
        <f>'DATA Conservative'!R142*N81</f>
        <v>361.90436330757433</v>
      </c>
      <c r="O90" s="159">
        <f>'DATA Conservative'!S142*O81</f>
        <v>378.3710118380689</v>
      </c>
      <c r="P90" s="160">
        <f>'DATA Conservative'!T142*P81</f>
        <v>395.58689287670103</v>
      </c>
      <c r="Q90" s="160">
        <f>'DATA Conservative'!U142*Q81</f>
        <v>413.5860965025909</v>
      </c>
      <c r="R90" s="160">
        <f>'DATA Conservative'!V142*R81</f>
        <v>432.4042638934588</v>
      </c>
      <c r="S90" s="161">
        <f>'DATA Conservative'!W142*S81</f>
        <v>452.0786579006112</v>
      </c>
    </row>
    <row r="91" spans="1:19" s="143" customFormat="1" ht="15" customHeight="1">
      <c r="A91" s="197" t="s">
        <v>166</v>
      </c>
      <c r="B91" s="201">
        <f>SUM(B88:B90)</f>
        <v>270.10320733024696</v>
      </c>
      <c r="C91" s="202">
        <f aca="true" t="shared" si="14" ref="C91:S91">SUM(C88:C90)</f>
        <v>256.62415277777774</v>
      </c>
      <c r="D91" s="202">
        <f t="shared" si="14"/>
        <v>287.53858881147323</v>
      </c>
      <c r="E91" s="202">
        <f t="shared" si="14"/>
        <v>278.54765</v>
      </c>
      <c r="F91" s="202">
        <f t="shared" si="14"/>
        <v>290.3230555555556</v>
      </c>
      <c r="G91" s="202">
        <f t="shared" si="14"/>
        <v>323.25373333333334</v>
      </c>
      <c r="H91" s="202">
        <f t="shared" si="14"/>
        <v>349.347533</v>
      </c>
      <c r="I91" s="202">
        <f t="shared" si="14"/>
        <v>364.34581049940005</v>
      </c>
      <c r="J91" s="202">
        <f t="shared" si="14"/>
        <v>381.99375185644703</v>
      </c>
      <c r="K91" s="202">
        <f t="shared" si="14"/>
        <v>402.4058590060371</v>
      </c>
      <c r="L91" s="259">
        <f t="shared" si="14"/>
        <v>425.7216997219316</v>
      </c>
      <c r="M91" s="201">
        <f t="shared" si="14"/>
        <v>452.10685710199783</v>
      </c>
      <c r="N91" s="259">
        <f t="shared" si="14"/>
        <v>481.7541201000396</v>
      </c>
      <c r="O91" s="201">
        <f t="shared" si="14"/>
        <v>490.9949707502536</v>
      </c>
      <c r="P91" s="202">
        <f t="shared" si="14"/>
        <v>501.4481235527762</v>
      </c>
      <c r="Q91" s="202">
        <f t="shared" si="14"/>
        <v>513.1160423237634</v>
      </c>
      <c r="R91" s="202">
        <f t="shared" si="14"/>
        <v>526.0050324283632</v>
      </c>
      <c r="S91" s="259">
        <f t="shared" si="14"/>
        <v>540.1251372850437</v>
      </c>
    </row>
    <row r="92" spans="1:19" s="143" customFormat="1" ht="15" customHeight="1">
      <c r="A92" s="155" t="s">
        <v>167</v>
      </c>
      <c r="B92" s="159">
        <f>'DATA Conservative'!F143*B83</f>
        <v>16.74146559388677</v>
      </c>
      <c r="C92" s="160">
        <f>'DATA Conservative'!G143*C83</f>
        <v>21.033492705877105</v>
      </c>
      <c r="D92" s="160">
        <f>'DATA Conservative'!H143*D83</f>
        <v>29.009023095767503</v>
      </c>
      <c r="E92" s="160">
        <f>'DATA Conservative'!I143*E83</f>
        <v>41.88409164422941</v>
      </c>
      <c r="F92" s="160">
        <f>'DATA Conservative'!J143*F83</f>
        <v>52.22642568370987</v>
      </c>
      <c r="G92" s="160">
        <f>'DATA Conservative'!K143*G83</f>
        <v>62.03197727999999</v>
      </c>
      <c r="H92" s="160">
        <f>'DATA Conservative'!L143*H83</f>
        <v>70.25633190772558</v>
      </c>
      <c r="I92" s="160">
        <f>'DATA Conservative'!M143*I83</f>
        <v>81.2865760172385</v>
      </c>
      <c r="J92" s="160">
        <f>'DATA Conservative'!N143*J83</f>
        <v>94.04856845194494</v>
      </c>
      <c r="K92" s="160">
        <f>'DATA Conservative'!O143*K83</f>
        <v>108.81419369890031</v>
      </c>
      <c r="L92" s="161">
        <f>'DATA Conservative'!P143*L83</f>
        <v>125.89802210962766</v>
      </c>
      <c r="M92" s="159">
        <f>'DATA Conservative'!Q143*M83</f>
        <v>145.6640115808392</v>
      </c>
      <c r="N92" s="161">
        <f>'DATA Conservative'!R143*N83</f>
        <v>168.53326139903098</v>
      </c>
      <c r="O92" s="159">
        <f>'DATA Conservative'!S143*O83</f>
        <v>194.99298343867886</v>
      </c>
      <c r="P92" s="160">
        <f>'DATA Conservative'!T143*P83</f>
        <v>225.60688183855143</v>
      </c>
      <c r="Q92" s="160">
        <f>'DATA Conservative'!U143*Q83</f>
        <v>261.027162287204</v>
      </c>
      <c r="R92" s="160">
        <f>'DATA Conservative'!V143*R83</f>
        <v>302.00842676629503</v>
      </c>
      <c r="S92" s="161">
        <f>'DATA Conservative'!W143*S83</f>
        <v>349.4237497686034</v>
      </c>
    </row>
    <row r="93" spans="1:19" ht="15" customHeight="1">
      <c r="A93" s="155" t="s">
        <v>171</v>
      </c>
      <c r="B93" s="159">
        <f>'DATA Conservative'!F144*B84</f>
        <v>205.62663399216675</v>
      </c>
      <c r="C93" s="160">
        <f>'DATA Conservative'!G144*C84</f>
        <v>216.2023367694861</v>
      </c>
      <c r="D93" s="160">
        <f>'DATA Conservative'!H144*D84</f>
        <v>246.73427521600303</v>
      </c>
      <c r="E93" s="160">
        <f>'DATA Conservative'!I144*E84</f>
        <v>290.3414960555973</v>
      </c>
      <c r="F93" s="160">
        <f>'DATA Conservative'!J144*F84</f>
        <v>326.39889165805783</v>
      </c>
      <c r="G93" s="160">
        <f>'DATA Conservative'!K144*G84</f>
        <v>347.4937691059091</v>
      </c>
      <c r="H93" s="160">
        <f>'DATA Conservative'!L144*H84</f>
        <v>350.33663153860476</v>
      </c>
      <c r="I93" s="160">
        <f>'DATA Conservative'!M144*I84</f>
        <v>356.29235427476107</v>
      </c>
      <c r="J93" s="160">
        <f>'DATA Conservative'!N144*J84</f>
        <v>362.34932429743196</v>
      </c>
      <c r="K93" s="160">
        <f>'DATA Conservative'!O144*K84</f>
        <v>368.5092628104883</v>
      </c>
      <c r="L93" s="161">
        <f>'DATA Conservative'!P144*L84</f>
        <v>374.77392027826653</v>
      </c>
      <c r="M93" s="159">
        <f>'DATA Conservative'!Q144*M84</f>
        <v>381.145076922997</v>
      </c>
      <c r="N93" s="161">
        <f>'DATA Conservative'!R144*N84</f>
        <v>387.62454323068795</v>
      </c>
      <c r="O93" s="159">
        <f>'DATA Conservative'!S144*O84</f>
        <v>394.21416046560955</v>
      </c>
      <c r="P93" s="160">
        <f>'DATA Conservative'!T144*P84</f>
        <v>400.9158011935249</v>
      </c>
      <c r="Q93" s="160">
        <f>'DATA Conservative'!U144*Q84</f>
        <v>407.7313698138148</v>
      </c>
      <c r="R93" s="160">
        <f>'DATA Conservative'!V144*R84</f>
        <v>414.6628031006496</v>
      </c>
      <c r="S93" s="161">
        <f>'DATA Conservative'!W144*S84</f>
        <v>421.7120707533606</v>
      </c>
    </row>
    <row r="94" spans="1:19" ht="15" customHeight="1">
      <c r="A94" s="197" t="s">
        <v>169</v>
      </c>
      <c r="B94" s="201">
        <f aca="true" t="shared" si="15" ref="B94:S94">SUM(B92:B93)</f>
        <v>222.36809958605352</v>
      </c>
      <c r="C94" s="202">
        <f t="shared" si="15"/>
        <v>237.2358294753632</v>
      </c>
      <c r="D94" s="202">
        <f t="shared" si="15"/>
        <v>275.74329831177056</v>
      </c>
      <c r="E94" s="202">
        <f t="shared" si="15"/>
        <v>332.2255876998267</v>
      </c>
      <c r="F94" s="202">
        <f t="shared" si="15"/>
        <v>378.6253173417677</v>
      </c>
      <c r="G94" s="202">
        <f t="shared" si="15"/>
        <v>409.5257463859091</v>
      </c>
      <c r="H94" s="202">
        <f t="shared" si="15"/>
        <v>420.5929634463304</v>
      </c>
      <c r="I94" s="202">
        <f t="shared" si="15"/>
        <v>437.57893029199954</v>
      </c>
      <c r="J94" s="202">
        <f t="shared" si="15"/>
        <v>456.3978927493769</v>
      </c>
      <c r="K94" s="202">
        <f t="shared" si="15"/>
        <v>477.3234565093886</v>
      </c>
      <c r="L94" s="259">
        <f t="shared" si="15"/>
        <v>500.6719423878942</v>
      </c>
      <c r="M94" s="201">
        <f t="shared" si="15"/>
        <v>526.8090885038362</v>
      </c>
      <c r="N94" s="259">
        <f t="shared" si="15"/>
        <v>556.157804629719</v>
      </c>
      <c r="O94" s="201">
        <f t="shared" si="15"/>
        <v>589.2071439042884</v>
      </c>
      <c r="P94" s="202">
        <f t="shared" si="15"/>
        <v>626.5226830320763</v>
      </c>
      <c r="Q94" s="202">
        <f t="shared" si="15"/>
        <v>668.7585321010188</v>
      </c>
      <c r="R94" s="202">
        <f t="shared" si="15"/>
        <v>716.6712298669447</v>
      </c>
      <c r="S94" s="259">
        <f t="shared" si="15"/>
        <v>771.135820521964</v>
      </c>
    </row>
    <row r="95" spans="8:24" s="143" customFormat="1" ht="15" customHeight="1">
      <c r="H95" s="388"/>
      <c r="P95" s="377"/>
      <c r="Q95" s="377"/>
      <c r="R95" s="377"/>
      <c r="S95" s="389"/>
      <c r="U95" s="389"/>
      <c r="X95" s="251"/>
    </row>
    <row r="96" spans="1:18" s="143" customFormat="1" ht="15" customHeight="1">
      <c r="A96" s="329"/>
      <c r="H96" s="388"/>
      <c r="O96" s="389"/>
      <c r="P96" s="389"/>
      <c r="Q96" s="389"/>
      <c r="R96" s="389"/>
    </row>
    <row r="97" spans="1:18" s="143" customFormat="1" ht="15" customHeight="1">
      <c r="A97" s="329"/>
      <c r="H97" s="388"/>
      <c r="O97" s="389"/>
      <c r="P97" s="389"/>
      <c r="Q97" s="389"/>
      <c r="R97" s="389"/>
    </row>
    <row r="98" spans="1:19" s="143" customFormat="1" ht="30" customHeight="1">
      <c r="A98" s="390" t="s">
        <v>1</v>
      </c>
      <c r="B98" s="391"/>
      <c r="C98" s="391"/>
      <c r="D98" s="391"/>
      <c r="E98" s="391"/>
      <c r="F98" s="391"/>
      <c r="G98" s="391"/>
      <c r="H98" s="391"/>
      <c r="I98" s="391"/>
      <c r="J98" s="391"/>
      <c r="K98" s="391"/>
      <c r="L98" s="391"/>
      <c r="M98" s="391"/>
      <c r="N98" s="391"/>
      <c r="O98" s="391"/>
      <c r="P98" s="391"/>
      <c r="Q98" s="391"/>
      <c r="R98" s="391"/>
      <c r="S98" s="392"/>
    </row>
    <row r="99" spans="1:19" s="143" customFormat="1" ht="30" customHeight="1">
      <c r="A99" s="393" t="s">
        <v>332</v>
      </c>
      <c r="B99" s="269">
        <v>2013</v>
      </c>
      <c r="C99" s="271">
        <v>2014</v>
      </c>
      <c r="D99" s="271">
        <v>2015</v>
      </c>
      <c r="E99" s="271">
        <v>2016</v>
      </c>
      <c r="F99" s="271">
        <v>2017</v>
      </c>
      <c r="G99" s="271">
        <v>2018</v>
      </c>
      <c r="H99" s="394">
        <v>2019</v>
      </c>
      <c r="I99" s="271">
        <v>2020</v>
      </c>
      <c r="J99" s="271">
        <v>2021</v>
      </c>
      <c r="K99" s="271">
        <v>2022</v>
      </c>
      <c r="L99" s="270">
        <v>2023</v>
      </c>
      <c r="M99" s="269">
        <v>2024</v>
      </c>
      <c r="N99" s="270">
        <v>2025</v>
      </c>
      <c r="O99" s="153">
        <v>2026</v>
      </c>
      <c r="P99" s="152">
        <v>2027</v>
      </c>
      <c r="Q99" s="152">
        <v>2028</v>
      </c>
      <c r="R99" s="152">
        <v>2029</v>
      </c>
      <c r="S99" s="154">
        <v>2030</v>
      </c>
    </row>
    <row r="100" spans="1:19" s="143" customFormat="1" ht="15" customHeight="1">
      <c r="A100" s="395" t="s">
        <v>333</v>
      </c>
      <c r="B100" s="159">
        <f>B74</f>
        <v>968.5805814938881</v>
      </c>
      <c r="C100" s="160">
        <f aca="true" t="shared" si="16" ref="C100:S100">C74</f>
        <v>986.0228772492006</v>
      </c>
      <c r="D100" s="160">
        <f t="shared" si="16"/>
        <v>1007.820057880764</v>
      </c>
      <c r="E100" s="160">
        <f t="shared" si="16"/>
        <v>1034.852713967025</v>
      </c>
      <c r="F100" s="160">
        <f t="shared" si="16"/>
        <v>1068.2900531365021</v>
      </c>
      <c r="G100" s="160">
        <f t="shared" si="16"/>
        <v>1109.7189560075742</v>
      </c>
      <c r="H100" s="160">
        <f t="shared" si="16"/>
        <v>1161.3536</v>
      </c>
      <c r="I100" s="160">
        <f t="shared" si="16"/>
        <v>1233.0597222499998</v>
      </c>
      <c r="J100" s="160">
        <f t="shared" si="16"/>
        <v>1305.6494592425374</v>
      </c>
      <c r="K100" s="160">
        <f t="shared" si="16"/>
        <v>1391.7748660896311</v>
      </c>
      <c r="L100" s="161">
        <f t="shared" si="16"/>
        <v>1492.9651577509464</v>
      </c>
      <c r="M100" s="159">
        <f t="shared" si="16"/>
        <v>1608.674883941877</v>
      </c>
      <c r="N100" s="161">
        <f t="shared" si="16"/>
        <v>1745.6197090426901</v>
      </c>
      <c r="O100" s="159">
        <f t="shared" si="16"/>
        <v>1887.4251282107905</v>
      </c>
      <c r="P100" s="160">
        <f t="shared" si="16"/>
        <v>2050.1073561362987</v>
      </c>
      <c r="Q100" s="160">
        <f t="shared" si="16"/>
        <v>2237.3288406248817</v>
      </c>
      <c r="R100" s="160">
        <f t="shared" si="16"/>
        <v>2453.4476227317655</v>
      </c>
      <c r="S100" s="161">
        <f t="shared" si="16"/>
        <v>2703.65415800365</v>
      </c>
    </row>
    <row r="101" spans="1:19" s="143" customFormat="1" ht="15" customHeight="1">
      <c r="A101" s="395" t="s">
        <v>172</v>
      </c>
      <c r="B101" s="159">
        <f>B91</f>
        <v>270.10320733024696</v>
      </c>
      <c r="C101" s="160">
        <f aca="true" t="shared" si="17" ref="C101:S101">C91</f>
        <v>256.62415277777774</v>
      </c>
      <c r="D101" s="160">
        <f t="shared" si="17"/>
        <v>287.53858881147323</v>
      </c>
      <c r="E101" s="160">
        <f t="shared" si="17"/>
        <v>278.54765</v>
      </c>
      <c r="F101" s="160">
        <f t="shared" si="17"/>
        <v>290.3230555555556</v>
      </c>
      <c r="G101" s="160">
        <f t="shared" si="17"/>
        <v>323.25373333333334</v>
      </c>
      <c r="H101" s="160">
        <f t="shared" si="17"/>
        <v>349.347533</v>
      </c>
      <c r="I101" s="160">
        <f t="shared" si="17"/>
        <v>364.34581049940005</v>
      </c>
      <c r="J101" s="160">
        <f t="shared" si="17"/>
        <v>381.99375185644703</v>
      </c>
      <c r="K101" s="160">
        <f t="shared" si="17"/>
        <v>402.4058590060371</v>
      </c>
      <c r="L101" s="161">
        <f t="shared" si="17"/>
        <v>425.7216997219316</v>
      </c>
      <c r="M101" s="159">
        <f t="shared" si="17"/>
        <v>452.10685710199783</v>
      </c>
      <c r="N101" s="161">
        <f t="shared" si="17"/>
        <v>481.7541201000396</v>
      </c>
      <c r="O101" s="159">
        <f t="shared" si="17"/>
        <v>490.9949707502536</v>
      </c>
      <c r="P101" s="160">
        <f t="shared" si="17"/>
        <v>501.4481235527762</v>
      </c>
      <c r="Q101" s="160">
        <f t="shared" si="17"/>
        <v>513.1160423237634</v>
      </c>
      <c r="R101" s="160">
        <f t="shared" si="17"/>
        <v>526.0050324283632</v>
      </c>
      <c r="S101" s="161">
        <f t="shared" si="17"/>
        <v>540.1251372850437</v>
      </c>
    </row>
    <row r="102" spans="1:19" s="143" customFormat="1" ht="15" customHeight="1">
      <c r="A102" s="395" t="s">
        <v>327</v>
      </c>
      <c r="B102" s="159">
        <f>B94</f>
        <v>222.36809958605352</v>
      </c>
      <c r="C102" s="160">
        <f aca="true" t="shared" si="18" ref="C102:S102">C94</f>
        <v>237.2358294753632</v>
      </c>
      <c r="D102" s="160">
        <f t="shared" si="18"/>
        <v>275.74329831177056</v>
      </c>
      <c r="E102" s="160">
        <f t="shared" si="18"/>
        <v>332.2255876998267</v>
      </c>
      <c r="F102" s="160">
        <f t="shared" si="18"/>
        <v>378.6253173417677</v>
      </c>
      <c r="G102" s="160">
        <f t="shared" si="18"/>
        <v>409.5257463859091</v>
      </c>
      <c r="H102" s="160">
        <f t="shared" si="18"/>
        <v>420.5929634463304</v>
      </c>
      <c r="I102" s="160">
        <f t="shared" si="18"/>
        <v>437.57893029199954</v>
      </c>
      <c r="J102" s="160">
        <f t="shared" si="18"/>
        <v>456.3978927493769</v>
      </c>
      <c r="K102" s="160">
        <f t="shared" si="18"/>
        <v>477.3234565093886</v>
      </c>
      <c r="L102" s="161">
        <f t="shared" si="18"/>
        <v>500.6719423878942</v>
      </c>
      <c r="M102" s="159">
        <f t="shared" si="18"/>
        <v>526.8090885038362</v>
      </c>
      <c r="N102" s="161">
        <f t="shared" si="18"/>
        <v>556.157804629719</v>
      </c>
      <c r="O102" s="159">
        <f t="shared" si="18"/>
        <v>589.2071439042884</v>
      </c>
      <c r="P102" s="160">
        <f t="shared" si="18"/>
        <v>626.5226830320763</v>
      </c>
      <c r="Q102" s="160">
        <f t="shared" si="18"/>
        <v>668.7585321010188</v>
      </c>
      <c r="R102" s="160">
        <f t="shared" si="18"/>
        <v>716.6712298669447</v>
      </c>
      <c r="S102" s="161">
        <f t="shared" si="18"/>
        <v>771.135820521964</v>
      </c>
    </row>
    <row r="103" spans="1:19" ht="15" customHeight="1">
      <c r="A103" s="396" t="s">
        <v>334</v>
      </c>
      <c r="B103" s="159">
        <f aca="true" t="shared" si="19" ref="B103:S103">SUM(B100:B102)</f>
        <v>1461.0518884101884</v>
      </c>
      <c r="C103" s="160">
        <f t="shared" si="19"/>
        <v>1479.8828595023417</v>
      </c>
      <c r="D103" s="160">
        <f t="shared" si="19"/>
        <v>1571.1019450040078</v>
      </c>
      <c r="E103" s="160">
        <f t="shared" si="19"/>
        <v>1645.6259516668517</v>
      </c>
      <c r="F103" s="160">
        <f t="shared" si="19"/>
        <v>1737.2384260338254</v>
      </c>
      <c r="G103" s="160">
        <f t="shared" si="19"/>
        <v>1842.4984357268165</v>
      </c>
      <c r="H103" s="160">
        <f t="shared" si="19"/>
        <v>1931.2940964463305</v>
      </c>
      <c r="I103" s="160">
        <f t="shared" si="19"/>
        <v>2034.9844630413993</v>
      </c>
      <c r="J103" s="160">
        <f t="shared" si="19"/>
        <v>2144.041103848361</v>
      </c>
      <c r="K103" s="160">
        <f t="shared" si="19"/>
        <v>2271.5041816050566</v>
      </c>
      <c r="L103" s="161">
        <f t="shared" si="19"/>
        <v>2419.3587998607723</v>
      </c>
      <c r="M103" s="159">
        <f t="shared" si="19"/>
        <v>2587.590829547711</v>
      </c>
      <c r="N103" s="161">
        <f t="shared" si="19"/>
        <v>2783.531633772449</v>
      </c>
      <c r="O103" s="159">
        <f t="shared" si="19"/>
        <v>2967.6272428653324</v>
      </c>
      <c r="P103" s="160">
        <f t="shared" si="19"/>
        <v>3178.078162721151</v>
      </c>
      <c r="Q103" s="160">
        <f t="shared" si="19"/>
        <v>3419.203415049664</v>
      </c>
      <c r="R103" s="160">
        <f t="shared" si="19"/>
        <v>3696.123885027073</v>
      </c>
      <c r="S103" s="161">
        <f t="shared" si="19"/>
        <v>4014.915115810658</v>
      </c>
    </row>
    <row r="104" spans="1:19" s="143" customFormat="1" ht="15" customHeight="1">
      <c r="A104" s="396" t="s">
        <v>335</v>
      </c>
      <c r="B104" s="397">
        <f>B103/'DATA Conservative'!F15</f>
        <v>0.013634452940133051</v>
      </c>
      <c r="C104" s="398">
        <f>C103/'DATA Conservative'!G15</f>
        <v>0.01366044245339128</v>
      </c>
      <c r="D104" s="398">
        <f>D103/'DATA Conservative'!H15</f>
        <v>0.01434995230392677</v>
      </c>
      <c r="E104" s="398">
        <f>E103/'DATA Conservative'!I15</f>
        <v>0.014841447675494479</v>
      </c>
      <c r="F104" s="398">
        <f>F103/'DATA Conservative'!J15</f>
        <v>0.015372606465765562</v>
      </c>
      <c r="G104" s="398">
        <f>G103/'DATA Conservative'!K15</f>
        <v>0.016094806694786735</v>
      </c>
      <c r="H104" s="398">
        <f>H103/'DATA Conservative'!L15</f>
        <v>0.016653963357279283</v>
      </c>
      <c r="I104" s="398">
        <f>I103/'DATA Conservative'!M15</f>
        <v>0.017322909807933794</v>
      </c>
      <c r="J104" s="398">
        <f>J103/'DATA Conservative'!N15</f>
        <v>0.018017038565256115</v>
      </c>
      <c r="K104" s="398">
        <f>K103/'DATA Conservative'!O15</f>
        <v>0.018843188661528423</v>
      </c>
      <c r="L104" s="399">
        <f>L103/'DATA Conservative'!P15</f>
        <v>0.019812153812933348</v>
      </c>
      <c r="M104" s="397">
        <f>M103/'DATA Conservative'!Q15</f>
        <v>0.020917875236605044</v>
      </c>
      <c r="N104" s="399">
        <f>N103/'DATA Conservative'!R15</f>
        <v>0.02221307489591955</v>
      </c>
      <c r="O104" s="397">
        <f>O103/'DATA Conservative'!S15</f>
        <v>0.0020363018423397495</v>
      </c>
      <c r="P104" s="398">
        <f>P103/'DATA Conservative'!T15</f>
        <v>0.00018750707726951412</v>
      </c>
      <c r="Q104" s="398">
        <f>Q103/'DATA Conservative'!U15</f>
        <v>1.7345958941346056E-05</v>
      </c>
      <c r="R104" s="398">
        <f>R103/'DATA Conservative'!V15</f>
        <v>1.6122789358057614E-06</v>
      </c>
      <c r="S104" s="399">
        <f>S103/'DATA Conservative'!W15</f>
        <v>1.505879821201834E-07</v>
      </c>
    </row>
    <row r="105" spans="1:19" s="143" customFormat="1" ht="15" customHeight="1">
      <c r="A105" s="396" t="s">
        <v>336</v>
      </c>
      <c r="B105" s="397">
        <f>B103/'DATA Conservative'!F8</f>
        <v>0.07497187440528472</v>
      </c>
      <c r="C105" s="398">
        <f>C103/'DATA Conservative'!G8</f>
        <v>0.07444078770132503</v>
      </c>
      <c r="D105" s="398">
        <f>D103/'DATA Conservative'!H8</f>
        <v>0.0777773240100994</v>
      </c>
      <c r="E105" s="398">
        <f>E103/'DATA Conservative'!I8</f>
        <v>0.07900647902764664</v>
      </c>
      <c r="F105" s="398">
        <f>F103/'DATA Conservative'!J8</f>
        <v>0.0812857208512926</v>
      </c>
      <c r="G105" s="398">
        <f>G103/'DATA Conservative'!K8</f>
        <v>0.08443766601017491</v>
      </c>
      <c r="H105" s="398">
        <f>H103/'DATA Conservative'!L8</f>
        <v>0.08668655883555128</v>
      </c>
      <c r="I105" s="398">
        <f>I103/'DATA Conservative'!M8</f>
        <v>0.0894620212221926</v>
      </c>
      <c r="J105" s="398">
        <f>J103/'DATA Conservative'!N8</f>
        <v>0.09231769941357824</v>
      </c>
      <c r="K105" s="398">
        <f>K103/'DATA Conservative'!O8</f>
        <v>0.09579429921825956</v>
      </c>
      <c r="L105" s="399">
        <f>L103/'DATA Conservative'!P8</f>
        <v>0.09993109876070887</v>
      </c>
      <c r="M105" s="397">
        <f>M103/'DATA Conservative'!Q8</f>
        <v>0.1046815737844746</v>
      </c>
      <c r="N105" s="399">
        <f>N103/'DATA Conservative'!R8</f>
        <v>0.11029226586866744</v>
      </c>
      <c r="O105" s="397">
        <f>O103/'DATA Conservative'!S8</f>
        <v>0.11516818032311575</v>
      </c>
      <c r="P105" s="398">
        <f>P103/'DATA Conservative'!T8</f>
        <v>0.12079862413367756</v>
      </c>
      <c r="Q105" s="398">
        <f>Q103/'DATA Conservative'!U8</f>
        <v>0.1272906810497664</v>
      </c>
      <c r="R105" s="398">
        <f>R103/'DATA Conservative'!V8</f>
        <v>0.13476975806233404</v>
      </c>
      <c r="S105" s="399">
        <f>S103/'DATA Conservative'!W8</f>
        <v>0.1433826342730393</v>
      </c>
    </row>
    <row r="106" spans="1:19" s="143" customFormat="1" ht="15" customHeight="1">
      <c r="A106" s="400" t="s">
        <v>337</v>
      </c>
      <c r="B106" s="219">
        <f>3*B103</f>
        <v>4383.155665230565</v>
      </c>
      <c r="C106" s="220">
        <f aca="true" t="shared" si="20" ref="C106:S106">3*C103</f>
        <v>4439.648578507025</v>
      </c>
      <c r="D106" s="220">
        <f t="shared" si="20"/>
        <v>4713.305835012024</v>
      </c>
      <c r="E106" s="220">
        <f t="shared" si="20"/>
        <v>4936.877855000555</v>
      </c>
      <c r="F106" s="220">
        <f t="shared" si="20"/>
        <v>5211.715278101476</v>
      </c>
      <c r="G106" s="220">
        <f t="shared" si="20"/>
        <v>5527.495307180449</v>
      </c>
      <c r="H106" s="220">
        <f t="shared" si="20"/>
        <v>5793.8822893389915</v>
      </c>
      <c r="I106" s="220">
        <f t="shared" si="20"/>
        <v>6104.953389124198</v>
      </c>
      <c r="J106" s="220">
        <f t="shared" si="20"/>
        <v>6432.123311545083</v>
      </c>
      <c r="K106" s="220">
        <f t="shared" si="20"/>
        <v>6814.51254481517</v>
      </c>
      <c r="L106" s="222">
        <f t="shared" si="20"/>
        <v>7258.076399582316</v>
      </c>
      <c r="M106" s="219">
        <f t="shared" si="20"/>
        <v>7762.772488643133</v>
      </c>
      <c r="N106" s="222">
        <f t="shared" si="20"/>
        <v>8350.594901317347</v>
      </c>
      <c r="O106" s="219">
        <f t="shared" si="20"/>
        <v>8902.881728595998</v>
      </c>
      <c r="P106" s="220">
        <f t="shared" si="20"/>
        <v>9534.234488163453</v>
      </c>
      <c r="Q106" s="220">
        <f t="shared" si="20"/>
        <v>10257.610245148991</v>
      </c>
      <c r="R106" s="220">
        <f t="shared" si="20"/>
        <v>11088.371655081219</v>
      </c>
      <c r="S106" s="222">
        <f t="shared" si="20"/>
        <v>12044.745347431974</v>
      </c>
    </row>
    <row r="107" spans="1:19" s="143" customFormat="1" ht="15" customHeight="1">
      <c r="A107" s="393" t="s">
        <v>338</v>
      </c>
      <c r="B107" s="162">
        <f aca="true" t="shared" si="21" ref="B107:S107">B51</f>
        <v>1553.6329005772363</v>
      </c>
      <c r="C107" s="163">
        <f t="shared" si="21"/>
        <v>1627.248964787018</v>
      </c>
      <c r="D107" s="163">
        <f t="shared" si="21"/>
        <v>1717.9783341224565</v>
      </c>
      <c r="E107" s="163">
        <f t="shared" si="21"/>
        <v>1819.7281109550383</v>
      </c>
      <c r="F107" s="163">
        <f t="shared" si="21"/>
        <v>1961.3614665469618</v>
      </c>
      <c r="G107" s="163">
        <f t="shared" si="21"/>
        <v>2103.132272211158</v>
      </c>
      <c r="H107" s="163">
        <f t="shared" si="21"/>
        <v>2250.037322956653</v>
      </c>
      <c r="I107" s="163">
        <f t="shared" si="21"/>
        <v>2340.819246267849</v>
      </c>
      <c r="J107" s="163">
        <f t="shared" si="21"/>
        <v>2481.9910061575656</v>
      </c>
      <c r="K107" s="163">
        <f t="shared" si="21"/>
        <v>2639.6120494470683</v>
      </c>
      <c r="L107" s="164">
        <f t="shared" si="21"/>
        <v>2816.3120148089993</v>
      </c>
      <c r="M107" s="162">
        <f t="shared" si="21"/>
        <v>3015.6146639900767</v>
      </c>
      <c r="N107" s="164">
        <f t="shared" si="21"/>
        <v>3242.403465382549</v>
      </c>
      <c r="O107" s="162">
        <f t="shared" si="21"/>
        <v>3479.0397956115435</v>
      </c>
      <c r="P107" s="163">
        <f t="shared" si="21"/>
        <v>3746.5348825851324</v>
      </c>
      <c r="Q107" s="163">
        <f t="shared" si="21"/>
        <v>4050.5429502249963</v>
      </c>
      <c r="R107" s="163">
        <f t="shared" si="21"/>
        <v>4398.103155345427</v>
      </c>
      <c r="S107" s="164">
        <f t="shared" si="21"/>
        <v>4798.01941400623</v>
      </c>
    </row>
    <row r="108" spans="1:19" s="143" customFormat="1" ht="15" customHeight="1">
      <c r="A108" s="400" t="s">
        <v>339</v>
      </c>
      <c r="B108" s="401">
        <f>B107/'DATA Conservative'!F15</f>
        <v>0.014498413668396463</v>
      </c>
      <c r="C108" s="402">
        <f>C107/'DATA Conservative'!G15</f>
        <v>0.01502074349877178</v>
      </c>
      <c r="D108" s="402">
        <f>D107/'DATA Conservative'!H15</f>
        <v>0.01569147516635143</v>
      </c>
      <c r="E108" s="402">
        <f>E107/'DATA Conservative'!I15</f>
        <v>0.016411627147110718</v>
      </c>
      <c r="F108" s="402">
        <f>F107/'DATA Conservative'!J15</f>
        <v>0.017355843337623814</v>
      </c>
      <c r="G108" s="402">
        <f>G107/'DATA Conservative'!K15</f>
        <v>0.018371525705775407</v>
      </c>
      <c r="H108" s="402">
        <f>H107/'DATA Conservative'!L15</f>
        <v>0.019402554586575468</v>
      </c>
      <c r="I108" s="402">
        <f>I107/'DATA Conservative'!M15</f>
        <v>0.01992634411526147</v>
      </c>
      <c r="J108" s="402">
        <f>J107/'DATA Conservative'!N15</f>
        <v>0.020856935809810115</v>
      </c>
      <c r="K108" s="402">
        <f>K107/'DATA Conservative'!O15</f>
        <v>0.021896815442280705</v>
      </c>
      <c r="L108" s="403">
        <f>L107/'DATA Conservative'!P15</f>
        <v>0.023062807726501378</v>
      </c>
      <c r="M108" s="401">
        <f>M107/'DATA Conservative'!Q15</f>
        <v>0.02437798533783139</v>
      </c>
      <c r="N108" s="403">
        <f>N107/'DATA Conservative'!R15</f>
        <v>0.025874953295112982</v>
      </c>
      <c r="O108" s="401">
        <f>O107/'DATA Conservative'!S15</f>
        <v>0.002387218665150451</v>
      </c>
      <c r="P108" s="402">
        <f>P107/'DATA Conservative'!T15</f>
        <v>0.00022104610703480013</v>
      </c>
      <c r="Q108" s="402">
        <f>Q107/'DATA Conservative'!U15</f>
        <v>2.054880718576405E-05</v>
      </c>
      <c r="R108" s="402">
        <f>R107/'DATA Conservative'!V15</f>
        <v>1.9184879336944485E-06</v>
      </c>
      <c r="S108" s="403">
        <f>S107/'DATA Conservative'!W15</f>
        <v>1.799599844299017E-07</v>
      </c>
    </row>
    <row r="109" spans="1:19" ht="15" customHeight="1">
      <c r="A109" s="268" t="s">
        <v>340</v>
      </c>
      <c r="B109" s="404">
        <f aca="true" t="shared" si="22" ref="B109:S109">B103+B107</f>
        <v>3014.684788987425</v>
      </c>
      <c r="C109" s="405">
        <f t="shared" si="22"/>
        <v>3107.1318242893594</v>
      </c>
      <c r="D109" s="405">
        <f t="shared" si="22"/>
        <v>3289.080279126464</v>
      </c>
      <c r="E109" s="405">
        <f t="shared" si="22"/>
        <v>3465.35406262189</v>
      </c>
      <c r="F109" s="405">
        <f t="shared" si="22"/>
        <v>3698.599892580787</v>
      </c>
      <c r="G109" s="405">
        <f t="shared" si="22"/>
        <v>3945.630707937975</v>
      </c>
      <c r="H109" s="405">
        <f t="shared" si="22"/>
        <v>4181.331419402984</v>
      </c>
      <c r="I109" s="405">
        <f t="shared" si="22"/>
        <v>4375.803709309248</v>
      </c>
      <c r="J109" s="405">
        <f t="shared" si="22"/>
        <v>4626.032110005926</v>
      </c>
      <c r="K109" s="405">
        <f t="shared" si="22"/>
        <v>4911.116231052125</v>
      </c>
      <c r="L109" s="406">
        <f t="shared" si="22"/>
        <v>5235.670814669771</v>
      </c>
      <c r="M109" s="404">
        <f t="shared" si="22"/>
        <v>5603.205493537787</v>
      </c>
      <c r="N109" s="406">
        <f t="shared" si="22"/>
        <v>6025.935099154998</v>
      </c>
      <c r="O109" s="404">
        <f t="shared" si="22"/>
        <v>6446.667038476876</v>
      </c>
      <c r="P109" s="405">
        <f t="shared" si="22"/>
        <v>6924.613045306283</v>
      </c>
      <c r="Q109" s="405">
        <f t="shared" si="22"/>
        <v>7469.74636527466</v>
      </c>
      <c r="R109" s="405">
        <f t="shared" si="22"/>
        <v>8094.2270403725</v>
      </c>
      <c r="S109" s="406">
        <f t="shared" si="22"/>
        <v>8812.934529816888</v>
      </c>
    </row>
    <row r="110" spans="1:19" s="143" customFormat="1" ht="15" customHeight="1">
      <c r="A110" s="407" t="s">
        <v>341</v>
      </c>
      <c r="B110" s="187">
        <f>B109/'DATA Conservative'!F15</f>
        <v>0.028132866608529514</v>
      </c>
      <c r="C110" s="189">
        <f>C109/'DATA Conservative'!G15</f>
        <v>0.028681185952163058</v>
      </c>
      <c r="D110" s="189">
        <f>D109/'DATA Conservative'!H15</f>
        <v>0.030041427470278197</v>
      </c>
      <c r="E110" s="189">
        <f>E109/'DATA Conservative'!I15</f>
        <v>0.0312530748226052</v>
      </c>
      <c r="F110" s="189">
        <f>F109/'DATA Conservative'!J15</f>
        <v>0.032728449803389376</v>
      </c>
      <c r="G110" s="189">
        <f>G109/'DATA Conservative'!K15</f>
        <v>0.03446633240056214</v>
      </c>
      <c r="H110" s="189">
        <f>H109/'DATA Conservative'!L15</f>
        <v>0.03605651794385475</v>
      </c>
      <c r="I110" s="189">
        <f>I109/'DATA Conservative'!M15</f>
        <v>0.03724925392319526</v>
      </c>
      <c r="J110" s="189">
        <f>J109/'DATA Conservative'!N15</f>
        <v>0.03887397437506623</v>
      </c>
      <c r="K110" s="189">
        <f>K109/'DATA Conservative'!O15</f>
        <v>0.040740004103809124</v>
      </c>
      <c r="L110" s="188">
        <f>L109/'DATA Conservative'!P15</f>
        <v>0.04287496153943472</v>
      </c>
      <c r="M110" s="187">
        <f>M109/'DATA Conservative'!Q15</f>
        <v>0.04529586057443643</v>
      </c>
      <c r="N110" s="188">
        <f>N109/'DATA Conservative'!R15</f>
        <v>0.048088028191032535</v>
      </c>
      <c r="O110" s="187">
        <f>O109/'DATA Conservative'!S15</f>
        <v>0.004423520507490201</v>
      </c>
      <c r="P110" s="189">
        <f>P109/'DATA Conservative'!T15</f>
        <v>0.00040855318430431425</v>
      </c>
      <c r="Q110" s="189">
        <f>Q109/'DATA Conservative'!U15</f>
        <v>3.789476612711011E-05</v>
      </c>
      <c r="R110" s="189">
        <f>R109/'DATA Conservative'!V15</f>
        <v>3.53076686950021E-06</v>
      </c>
      <c r="S110" s="188">
        <f>S109/'DATA Conservative'!W15</f>
        <v>3.305479665500851E-07</v>
      </c>
    </row>
    <row r="111" spans="1:19" s="143" customFormat="1" ht="15" customHeight="1">
      <c r="A111" s="407" t="s">
        <v>342</v>
      </c>
      <c r="B111" s="408">
        <f>B106+B107</f>
        <v>5936.788565807801</v>
      </c>
      <c r="C111" s="409">
        <f aca="true" t="shared" si="23" ref="C111:S111">C106+C107</f>
        <v>6066.897543294043</v>
      </c>
      <c r="D111" s="409">
        <f t="shared" si="23"/>
        <v>6431.28416913448</v>
      </c>
      <c r="E111" s="409">
        <f t="shared" si="23"/>
        <v>6756.605965955594</v>
      </c>
      <c r="F111" s="409">
        <f t="shared" si="23"/>
        <v>7173.076744648437</v>
      </c>
      <c r="G111" s="409">
        <f t="shared" si="23"/>
        <v>7630.6275793916075</v>
      </c>
      <c r="H111" s="409">
        <f t="shared" si="23"/>
        <v>8043.919612295645</v>
      </c>
      <c r="I111" s="409">
        <f t="shared" si="23"/>
        <v>8445.772635392048</v>
      </c>
      <c r="J111" s="409">
        <f t="shared" si="23"/>
        <v>8914.11431770265</v>
      </c>
      <c r="K111" s="409">
        <f t="shared" si="23"/>
        <v>9454.124594262239</v>
      </c>
      <c r="L111" s="410">
        <f t="shared" si="23"/>
        <v>10074.388414391316</v>
      </c>
      <c r="M111" s="408">
        <f t="shared" si="23"/>
        <v>10778.38715263321</v>
      </c>
      <c r="N111" s="410">
        <f t="shared" si="23"/>
        <v>11592.998366699896</v>
      </c>
      <c r="O111" s="408">
        <f t="shared" si="23"/>
        <v>12381.92152420754</v>
      </c>
      <c r="P111" s="409">
        <f t="shared" si="23"/>
        <v>13280.769370748585</v>
      </c>
      <c r="Q111" s="409">
        <f t="shared" si="23"/>
        <v>14308.153195373987</v>
      </c>
      <c r="R111" s="409">
        <f t="shared" si="23"/>
        <v>15486.474810426645</v>
      </c>
      <c r="S111" s="410">
        <f t="shared" si="23"/>
        <v>16842.764761438204</v>
      </c>
    </row>
    <row r="112" spans="1:19" s="143" customFormat="1" ht="15" customHeight="1">
      <c r="A112" s="378" t="s">
        <v>343</v>
      </c>
      <c r="B112" s="195">
        <f>B111/'DATA Conservative'!F13</f>
        <v>0.03992341990362325</v>
      </c>
      <c r="C112" s="411">
        <f>C111/'DATA Conservative'!G13</f>
        <v>0.04046987643681844</v>
      </c>
      <c r="D112" s="411">
        <f>D111/'DATA Conservative'!H13</f>
        <v>0.04259054630834562</v>
      </c>
      <c r="E112" s="411">
        <f>E111/'DATA Conservative'!I13</f>
        <v>0.04414144394211708</v>
      </c>
      <c r="F112" s="411">
        <f>F111/'DATA Conservative'!J13</f>
        <v>0.04604111525943965</v>
      </c>
      <c r="G112" s="411">
        <f>G111/'DATA Conservative'!K13</f>
        <v>0.0476343775023388</v>
      </c>
      <c r="H112" s="411">
        <f>H111/'DATA Conservative'!L13</f>
        <v>0.0495547411087466</v>
      </c>
      <c r="I112" s="411">
        <f>I111/'DATA Conservative'!M13</f>
        <v>0.0513626509051915</v>
      </c>
      <c r="J112" s="411">
        <f>J111/'DATA Conservative'!N13</f>
        <v>0.05421085335763094</v>
      </c>
      <c r="K112" s="411">
        <f>K111/'DATA Conservative'!O13</f>
        <v>0.057494905689790196</v>
      </c>
      <c r="L112" s="412">
        <f>L111/'DATA Conservative'!P13</f>
        <v>0.0612670169503879</v>
      </c>
      <c r="M112" s="195">
        <f>M111/'DATA Conservative'!Q13</f>
        <v>0.0655483589887099</v>
      </c>
      <c r="N112" s="412">
        <f>N111/'DATA Conservative'!R13</f>
        <v>0.07050238666833608</v>
      </c>
      <c r="O112" s="195">
        <f>O111/'DATA Conservative'!S13</f>
        <v>0.07530019339122634</v>
      </c>
      <c r="P112" s="411">
        <f>P111/'DATA Conservative'!T13</f>
        <v>0.08076650300573182</v>
      </c>
      <c r="Q112" s="411">
        <f>Q111/'DATA Conservative'!U13</f>
        <v>0.08701449937124438</v>
      </c>
      <c r="R112" s="411">
        <f>R111/'DATA Conservative'!V13</f>
        <v>0.09418041827301242</v>
      </c>
      <c r="S112" s="412">
        <f>S111/'DATA Conservative'!W13</f>
        <v>0.1024286449643283</v>
      </c>
    </row>
    <row r="113" spans="1:19" s="143" customFormat="1" ht="15" customHeight="1">
      <c r="A113" s="413" t="s">
        <v>344</v>
      </c>
      <c r="B113" s="201">
        <f>'DATA Conservative'!F19*B103</f>
        <v>905.8521708143169</v>
      </c>
      <c r="C113" s="202">
        <f>'DATA Conservative'!G19*C103</f>
        <v>902.7285442964285</v>
      </c>
      <c r="D113" s="202">
        <f>'DATA Conservative'!H19*D103</f>
        <v>958.3721864524448</v>
      </c>
      <c r="E113" s="202">
        <f>'DATA Conservative'!I19*E103</f>
        <v>1003.8318305167795</v>
      </c>
      <c r="F113" s="202">
        <f>'DATA Conservative'!J19*F103</f>
        <v>1042.3430556202952</v>
      </c>
      <c r="G113" s="202">
        <f>'DATA Conservative'!K19*G103</f>
        <v>1105.49906143609</v>
      </c>
      <c r="H113" s="202">
        <f>'DATA Conservative'!L19*H103</f>
        <v>1158.7764578677982</v>
      </c>
      <c r="I113" s="202">
        <f>'DATA Conservative'!M19*I103</f>
        <v>1200.6408331944256</v>
      </c>
      <c r="J113" s="202">
        <f>'DATA Conservative'!N19*J103</f>
        <v>1264.9842512705332</v>
      </c>
      <c r="K113" s="202">
        <f>'DATA Conservative'!O19*K103</f>
        <v>1317.4724253309328</v>
      </c>
      <c r="L113" s="259">
        <f>'DATA Conservative'!P19*L103</f>
        <v>1379.0345159206402</v>
      </c>
      <c r="M113" s="201">
        <f>'DATA Conservative'!Q19*M103</f>
        <v>1423.1749562512412</v>
      </c>
      <c r="N113" s="259">
        <f>'DATA Conservative'!R19*N103</f>
        <v>1475.271765899398</v>
      </c>
      <c r="O113" s="201">
        <f>'DATA Conservative'!S19*O103</f>
        <v>1509.9287411698813</v>
      </c>
      <c r="P113" s="202">
        <f>'DATA Conservative'!T19*P103</f>
        <v>1552.3259224248206</v>
      </c>
      <c r="Q113" s="202">
        <f>'DATA Conservative'!U19*Q103</f>
        <v>1603.2989468872108</v>
      </c>
      <c r="R113" s="202">
        <f>'DATA Conservative'!V19*R103</f>
        <v>1663.8237567532371</v>
      </c>
      <c r="S113" s="259">
        <f>'DATA Conservative'!W19*S103</f>
        <v>1735.0356493651827</v>
      </c>
    </row>
    <row r="114" spans="1:19" s="143" customFormat="1" ht="15" customHeight="1">
      <c r="A114" s="413" t="s">
        <v>345</v>
      </c>
      <c r="B114" s="201">
        <f>B25</f>
        <v>475.9553071458097</v>
      </c>
      <c r="C114" s="202">
        <f aca="true" t="shared" si="24" ref="C114:S114">C25</f>
        <v>497.8238809335922</v>
      </c>
      <c r="D114" s="202">
        <f t="shared" si="24"/>
        <v>524.7230288628889</v>
      </c>
      <c r="E114" s="202">
        <f t="shared" si="24"/>
        <v>554.7182315197635</v>
      </c>
      <c r="F114" s="202">
        <f t="shared" si="24"/>
        <v>596.1994743269064</v>
      </c>
      <c r="G114" s="202">
        <f t="shared" si="24"/>
        <v>638.013674571089</v>
      </c>
      <c r="H114" s="202">
        <f t="shared" si="24"/>
        <v>681.3533499042373</v>
      </c>
      <c r="I114" s="202">
        <f t="shared" si="24"/>
        <v>702.9999575523373</v>
      </c>
      <c r="J114" s="202">
        <f t="shared" si="24"/>
        <v>738.663921999327</v>
      </c>
      <c r="K114" s="202">
        <f t="shared" si="24"/>
        <v>778.3983884571014</v>
      </c>
      <c r="L114" s="259">
        <f t="shared" si="24"/>
        <v>822.8375649849067</v>
      </c>
      <c r="M114" s="201">
        <f t="shared" si="24"/>
        <v>872.8400742671696</v>
      </c>
      <c r="N114" s="259">
        <f t="shared" si="24"/>
        <v>929.606341302097</v>
      </c>
      <c r="O114" s="201">
        <f t="shared" si="24"/>
        <v>988.0829537806281</v>
      </c>
      <c r="P114" s="202">
        <f t="shared" si="24"/>
        <v>1053.9692651277</v>
      </c>
      <c r="Q114" s="202">
        <f t="shared" si="24"/>
        <v>1128.5971517024586</v>
      </c>
      <c r="R114" s="202">
        <f t="shared" si="24"/>
        <v>1213.6226016356488</v>
      </c>
      <c r="S114" s="259">
        <f t="shared" si="24"/>
        <v>1311.1126638900596</v>
      </c>
    </row>
    <row r="115" spans="1:19" ht="15" customHeight="1">
      <c r="A115" s="268" t="s">
        <v>346</v>
      </c>
      <c r="B115" s="404">
        <f>SUM(B113:B114)</f>
        <v>1381.8074779601266</v>
      </c>
      <c r="C115" s="405">
        <f aca="true" t="shared" si="25" ref="C115:S115">SUM(C113:C114)</f>
        <v>1400.5524252300206</v>
      </c>
      <c r="D115" s="405">
        <f t="shared" si="25"/>
        <v>1483.0952153153337</v>
      </c>
      <c r="E115" s="405">
        <f t="shared" si="25"/>
        <v>1558.550062036543</v>
      </c>
      <c r="F115" s="405">
        <f t="shared" si="25"/>
        <v>1638.5425299472017</v>
      </c>
      <c r="G115" s="405">
        <f t="shared" si="25"/>
        <v>1743.512736007179</v>
      </c>
      <c r="H115" s="405">
        <f t="shared" si="25"/>
        <v>1840.1298077720355</v>
      </c>
      <c r="I115" s="405">
        <f t="shared" si="25"/>
        <v>1903.6407907467628</v>
      </c>
      <c r="J115" s="405">
        <f t="shared" si="25"/>
        <v>2003.6481732698603</v>
      </c>
      <c r="K115" s="405">
        <f t="shared" si="25"/>
        <v>2095.870813788034</v>
      </c>
      <c r="L115" s="406">
        <f t="shared" si="25"/>
        <v>2201.8720809055467</v>
      </c>
      <c r="M115" s="404">
        <f t="shared" si="25"/>
        <v>2296.0150305184106</v>
      </c>
      <c r="N115" s="406">
        <f t="shared" si="25"/>
        <v>2404.878107201495</v>
      </c>
      <c r="O115" s="404">
        <f t="shared" si="25"/>
        <v>2498.0116949505095</v>
      </c>
      <c r="P115" s="405">
        <f t="shared" si="25"/>
        <v>2606.2951875525205</v>
      </c>
      <c r="Q115" s="405">
        <f t="shared" si="25"/>
        <v>2731.8960985896692</v>
      </c>
      <c r="R115" s="405">
        <f t="shared" si="25"/>
        <v>2877.446358388886</v>
      </c>
      <c r="S115" s="406">
        <f t="shared" si="25"/>
        <v>3046.148313255242</v>
      </c>
    </row>
    <row r="116" spans="1:19" s="143" customFormat="1" ht="15" customHeight="1">
      <c r="A116" s="378" t="s">
        <v>347</v>
      </c>
      <c r="B116" s="195">
        <f>B115/'DATA Conservative'!F16</f>
        <v>0.028736039517778644</v>
      </c>
      <c r="C116" s="411">
        <f>C115/'DATA Conservative'!G16</f>
        <v>0.028837484208514046</v>
      </c>
      <c r="D116" s="411">
        <f>D115/'DATA Conservative'!H16</f>
        <v>0.030234699728654134</v>
      </c>
      <c r="E116" s="411">
        <f>E115/'DATA Conservative'!I16</f>
        <v>0.031303387732486865</v>
      </c>
      <c r="F116" s="411">
        <f>F115/'DATA Conservative'!J16</f>
        <v>0.03226473707618042</v>
      </c>
      <c r="G116" s="411">
        <f>G115/'DATA Conservative'!K16</f>
        <v>0.03365854702716562</v>
      </c>
      <c r="H116" s="411">
        <f>H115/'DATA Conservative'!L16</f>
        <v>0.03492993260843718</v>
      </c>
      <c r="I116" s="411">
        <f>I115/'DATA Conservative'!M16</f>
        <v>0.03732629001464241</v>
      </c>
      <c r="J116" s="411">
        <f>J115/'DATA Conservative'!N16</f>
        <v>0.03928721908372275</v>
      </c>
      <c r="K116" s="411">
        <f>K115/'DATA Conservative'!O16</f>
        <v>0.04191741627576068</v>
      </c>
      <c r="L116" s="412">
        <f>L115/'DATA Conservative'!P16</f>
        <v>0.045872335018865555</v>
      </c>
      <c r="M116" s="195">
        <f>M115/'DATA Conservative'!Q16</f>
        <v>0.0499133702286611</v>
      </c>
      <c r="N116" s="412">
        <f>N115/'DATA Conservative'!R16</f>
        <v>0.05465632061821579</v>
      </c>
      <c r="O116" s="195">
        <f>O115/'DATA Conservative'!S16</f>
        <v>0.056772993067057034</v>
      </c>
      <c r="P116" s="411">
        <f>P115/'DATA Conservative'!T16</f>
        <v>0.05923398153528456</v>
      </c>
      <c r="Q116" s="411">
        <f>Q115/'DATA Conservative'!U16</f>
        <v>0.06208854769521976</v>
      </c>
      <c r="R116" s="411">
        <f>R115/'DATA Conservative'!V16</f>
        <v>0.06539650814520195</v>
      </c>
      <c r="S116" s="412">
        <f>S115/'DATA Conservative'!W16</f>
        <v>0.06923064348307369</v>
      </c>
    </row>
    <row r="117" ht="15">
      <c r="A117" s="414"/>
    </row>
    <row r="118" spans="1:19" ht="15">
      <c r="A118" s="142" t="s">
        <v>348</v>
      </c>
      <c r="B118" s="142">
        <f>B114/(B114+B113)</f>
        <v>0.34444400883430726</v>
      </c>
      <c r="C118" s="142">
        <f aca="true" t="shared" si="26" ref="C118:S118">C114/(C114+C113)</f>
        <v>0.3554482302594505</v>
      </c>
      <c r="D118" s="142">
        <f t="shared" si="26"/>
        <v>0.35380265774191916</v>
      </c>
      <c r="E118" s="142">
        <f t="shared" si="26"/>
        <v>0.3559194183309828</v>
      </c>
      <c r="F118" s="142">
        <f t="shared" si="26"/>
        <v>0.3638596273397417</v>
      </c>
      <c r="G118" s="142">
        <f t="shared" si="26"/>
        <v>0.3659357694353326</v>
      </c>
      <c r="H118" s="142">
        <f t="shared" si="26"/>
        <v>0.37027461162057695</v>
      </c>
      <c r="I118" s="142">
        <f t="shared" si="26"/>
        <v>0.3692923375930411</v>
      </c>
      <c r="J118" s="142">
        <f t="shared" si="26"/>
        <v>0.36865949414355614</v>
      </c>
      <c r="K118" s="142">
        <f t="shared" si="26"/>
        <v>0.37139616780589646</v>
      </c>
      <c r="L118" s="142">
        <f t="shared" si="26"/>
        <v>0.3736990773081172</v>
      </c>
      <c r="M118" s="142">
        <f t="shared" si="26"/>
        <v>0.3801543381317036</v>
      </c>
      <c r="N118" s="142">
        <f t="shared" si="26"/>
        <v>0.386550294802201</v>
      </c>
      <c r="O118" s="142">
        <f t="shared" si="26"/>
        <v>0.395547769363107</v>
      </c>
      <c r="P118" s="142">
        <f t="shared" si="26"/>
        <v>0.4043936658293281</v>
      </c>
      <c r="Q118" s="142">
        <f t="shared" si="26"/>
        <v>0.41311862200216637</v>
      </c>
      <c r="R118" s="142">
        <f t="shared" si="26"/>
        <v>0.4217707128049364</v>
      </c>
      <c r="S118" s="142">
        <f t="shared" si="26"/>
        <v>0.43041655528878353</v>
      </c>
    </row>
    <row r="119" ht="15">
      <c r="H119" s="142"/>
    </row>
    <row r="120" spans="1:19" ht="15">
      <c r="A120" s="142" t="s">
        <v>349</v>
      </c>
      <c r="B120" s="142">
        <f>B107/B111</f>
        <v>0.26169584504410226</v>
      </c>
      <c r="C120" s="142">
        <f aca="true" t="shared" si="27" ref="C120:S120">C107/C111</f>
        <v>0.2682176438904385</v>
      </c>
      <c r="D120" s="142">
        <f t="shared" si="27"/>
        <v>0.26712835087703196</v>
      </c>
      <c r="E120" s="142">
        <f t="shared" si="27"/>
        <v>0.26932577097496496</v>
      </c>
      <c r="F120" s="142">
        <f t="shared" si="27"/>
        <v>0.2734337769368298</v>
      </c>
      <c r="G120" s="142">
        <f t="shared" si="27"/>
        <v>0.2756172084575567</v>
      </c>
      <c r="H120" s="142">
        <f t="shared" si="27"/>
        <v>0.2797190214975952</v>
      </c>
      <c r="I120" s="142">
        <f t="shared" si="27"/>
        <v>0.27715868604592026</v>
      </c>
      <c r="J120" s="142">
        <f t="shared" si="27"/>
        <v>0.278433831752477</v>
      </c>
      <c r="K120" s="142">
        <f t="shared" si="27"/>
        <v>0.27920216442345847</v>
      </c>
      <c r="L120" s="142">
        <f t="shared" si="27"/>
        <v>0.2795516610006701</v>
      </c>
      <c r="M120" s="142">
        <f t="shared" si="27"/>
        <v>0.2797834797809567</v>
      </c>
      <c r="N120" s="142">
        <f t="shared" si="27"/>
        <v>0.2796863557486675</v>
      </c>
      <c r="O120" s="142">
        <f t="shared" si="27"/>
        <v>0.28097737405375833</v>
      </c>
      <c r="P120" s="142">
        <f t="shared" si="27"/>
        <v>0.2821022470909722</v>
      </c>
      <c r="Q120" s="142">
        <f t="shared" si="27"/>
        <v>0.2830933450960387</v>
      </c>
      <c r="R120" s="142">
        <f t="shared" si="27"/>
        <v>0.28399640390621994</v>
      </c>
      <c r="S120" s="142">
        <f t="shared" si="27"/>
        <v>0.28487124780079914</v>
      </c>
    </row>
  </sheetData>
  <mergeCells count="1">
    <mergeCell ref="A98:S98"/>
  </mergeCells>
  <conditionalFormatting sqref="B32:S50">
    <cfRule type="expression" priority="10" dxfId="0">
      <formula>MOD(ROW(),2)</formula>
    </cfRule>
  </conditionalFormatting>
  <conditionalFormatting sqref="B57:S73">
    <cfRule type="expression" priority="9" dxfId="0">
      <formula>MOD(ROW(),2)</formula>
    </cfRule>
  </conditionalFormatting>
  <conditionalFormatting sqref="B78:S85">
    <cfRule type="expression" priority="8" dxfId="0">
      <formula>MOD(ROW(),2)</formula>
    </cfRule>
  </conditionalFormatting>
  <conditionalFormatting sqref="B88:S94">
    <cfRule type="expression" priority="7" dxfId="0">
      <formula>MOD(ROW(),2)</formula>
    </cfRule>
  </conditionalFormatting>
  <conditionalFormatting sqref="B100:S108">
    <cfRule type="expression" priority="3" dxfId="0">
      <formula>MOD(ROW(),2)</formula>
    </cfRule>
  </conditionalFormatting>
  <conditionalFormatting sqref="B113:S114">
    <cfRule type="expression" priority="2" dxfId="0">
      <formula>MOD(ROW(),2)</formula>
    </cfRule>
  </conditionalFormatting>
  <conditionalFormatting sqref="B6:S24">
    <cfRule type="expression" priority="1" dxfId="0">
      <formula>MOD(ROW(),2)</formula>
    </cfRule>
  </conditionalFormatting>
  <printOptions/>
  <pageMargins left="0.7" right="0.7" top="0.75" bottom="0.75" header="0.3" footer="0.3"/>
  <pageSetup horizontalDpi="600" verticalDpi="600" orientation="portrait" paperSize="9" copies="1"/>
  <extLst>
    <ext xmlns:x14="http://schemas.microsoft.com/office/spreadsheetml/2009/9/main" uri="{78C0D931-6437-407d-A8EE-F0AAD7539E65}">
      <x14:conditionalFormattings>
        <x14:conditionalFormatting xmlns:xm="http://schemas.microsoft.com/office/excel/2006/main">
          <x14:cfRule type="expression" priority="10">
            <xm:f>MOD(ROW(),2)</xm:f>
            <x14:dxf>
              <fill>
                <patternFill patternType="solid">
                  <fgColor theme="5" tint="0.5999600291252136"/>
                  <bgColor theme="5" tint="0.5999600291252136"/>
                </patternFill>
              </fill>
            </x14:dxf>
          </x14:cfRule>
          <xm:sqref>B32:S50</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B57:S73</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B78:S85</xm:sqref>
        </x14:conditionalFormatting>
        <x14:conditionalFormatting xmlns:xm="http://schemas.microsoft.com/office/excel/2006/main">
          <x14:cfRule type="expression" priority="7">
            <xm:f>MOD(ROW(),2)</xm:f>
            <x14:dxf>
              <fill>
                <patternFill patternType="solid">
                  <fgColor theme="5" tint="0.5999600291252136"/>
                  <bgColor theme="5" tint="0.5999600291252136"/>
                </patternFill>
              </fill>
            </x14:dxf>
          </x14:cfRule>
          <xm:sqref>B88:S94</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B100:S108</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B113:S114</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B6:S24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AA424"/>
  <sheetViews>
    <sheetView zoomScale="60" zoomScaleNormal="60" workbookViewId="0" topLeftCell="A1">
      <selection activeCell="A2" sqref="A2:F3"/>
    </sheetView>
  </sheetViews>
  <sheetFormatPr defaultColWidth="11.421875" defaultRowHeight="15"/>
  <cols>
    <col min="1" max="1" width="48.8515625" style="143" customWidth="1"/>
    <col min="2" max="5" width="8.57421875" style="143" customWidth="1"/>
    <col min="6" max="12" width="10.57421875" style="143" customWidth="1"/>
    <col min="13" max="16" width="10.57421875" style="142" customWidth="1"/>
    <col min="17" max="22" width="8.57421875" style="142" customWidth="1"/>
    <col min="23" max="23" width="11.57421875" style="142" bestFit="1" customWidth="1"/>
    <col min="24" max="24" width="18.57421875" style="142" customWidth="1"/>
    <col min="25" max="25" width="16.28125" style="142" customWidth="1"/>
    <col min="26" max="27" width="15.421875" style="142" customWidth="1"/>
    <col min="28" max="28" width="26.140625" style="142" customWidth="1"/>
    <col min="29" max="16384" width="10.8515625" style="142" customWidth="1"/>
  </cols>
  <sheetData>
    <row r="1" ht="15" customHeight="1"/>
    <row r="2" spans="1:12" ht="15" customHeight="1">
      <c r="A2" s="144" t="s">
        <v>350</v>
      </c>
      <c r="B2" s="145"/>
      <c r="C2" s="145"/>
      <c r="D2" s="145"/>
      <c r="E2" s="145"/>
      <c r="F2" s="146"/>
      <c r="H2" s="142"/>
      <c r="I2" s="142"/>
      <c r="J2" s="142"/>
      <c r="K2" s="142"/>
      <c r="L2" s="142"/>
    </row>
    <row r="3" spans="1:12" ht="15" customHeight="1">
      <c r="A3" s="147"/>
      <c r="B3" s="148"/>
      <c r="C3" s="148"/>
      <c r="D3" s="148"/>
      <c r="E3" s="148"/>
      <c r="F3" s="149"/>
      <c r="H3" s="142"/>
      <c r="I3" s="142"/>
      <c r="J3" s="142"/>
      <c r="K3" s="142"/>
      <c r="L3" s="142"/>
    </row>
    <row r="4" ht="15" customHeight="1"/>
    <row r="5" spans="1:23" ht="14.5">
      <c r="A5" s="151" t="s">
        <v>45</v>
      </c>
      <c r="B5" s="236"/>
      <c r="C5" s="236"/>
      <c r="D5" s="236"/>
      <c r="E5" s="236"/>
      <c r="M5" s="143"/>
      <c r="N5" s="143"/>
      <c r="O5" s="143"/>
      <c r="P5" s="143"/>
      <c r="Q5" s="143"/>
      <c r="R5" s="143"/>
      <c r="S5" s="143"/>
      <c r="T5" s="143"/>
      <c r="U5" s="143"/>
      <c r="V5" s="143"/>
      <c r="W5" s="143"/>
    </row>
    <row r="6" ht="15" customHeight="1"/>
    <row r="7" spans="1:24" ht="30" customHeight="1">
      <c r="A7" s="151" t="s">
        <v>46</v>
      </c>
      <c r="B7" s="152"/>
      <c r="C7" s="152"/>
      <c r="D7" s="152"/>
      <c r="E7" s="152" t="s">
        <v>47</v>
      </c>
      <c r="F7" s="153">
        <v>2013</v>
      </c>
      <c r="G7" s="152">
        <v>2014</v>
      </c>
      <c r="H7" s="152">
        <v>2015</v>
      </c>
      <c r="I7" s="152">
        <v>2016</v>
      </c>
      <c r="J7" s="152">
        <v>2017</v>
      </c>
      <c r="K7" s="152">
        <v>2018</v>
      </c>
      <c r="L7" s="152">
        <v>2019</v>
      </c>
      <c r="M7" s="152">
        <v>2020</v>
      </c>
      <c r="N7" s="152">
        <v>2021</v>
      </c>
      <c r="O7" s="152">
        <v>2022</v>
      </c>
      <c r="P7" s="154">
        <v>2023</v>
      </c>
      <c r="Q7" s="153">
        <v>2024</v>
      </c>
      <c r="R7" s="154">
        <v>2025</v>
      </c>
      <c r="S7" s="153">
        <v>2026</v>
      </c>
      <c r="T7" s="152">
        <v>2027</v>
      </c>
      <c r="U7" s="152">
        <v>2028</v>
      </c>
      <c r="V7" s="152">
        <v>2029</v>
      </c>
      <c r="W7" s="154">
        <v>2030</v>
      </c>
      <c r="X7" s="142" t="s">
        <v>48</v>
      </c>
    </row>
    <row r="8" spans="1:24" ht="15" customHeight="1">
      <c r="A8" s="155" t="s">
        <v>49</v>
      </c>
      <c r="B8" s="156"/>
      <c r="C8" s="156"/>
      <c r="D8" s="157"/>
      <c r="E8" s="415" t="s">
        <v>50</v>
      </c>
      <c r="F8" s="159">
        <v>19488</v>
      </c>
      <c r="G8" s="160">
        <v>19880</v>
      </c>
      <c r="H8" s="160">
        <v>20200</v>
      </c>
      <c r="I8" s="160">
        <v>20829</v>
      </c>
      <c r="J8" s="160">
        <v>21372</v>
      </c>
      <c r="K8" s="160">
        <f>J8*1.021</f>
        <v>21820.811999999998</v>
      </c>
      <c r="L8" s="160">
        <f aca="true" t="shared" si="0" ref="L8:R8">K8*1.021</f>
        <v>22279.049051999995</v>
      </c>
      <c r="M8" s="160">
        <f t="shared" si="0"/>
        <v>22746.909082091992</v>
      </c>
      <c r="N8" s="160">
        <f t="shared" si="0"/>
        <v>23224.594172815923</v>
      </c>
      <c r="O8" s="160">
        <f t="shared" si="0"/>
        <v>23712.310650445055</v>
      </c>
      <c r="P8" s="161">
        <f t="shared" si="0"/>
        <v>24210.2691741044</v>
      </c>
      <c r="Q8" s="159">
        <f t="shared" si="0"/>
        <v>24718.68482676059</v>
      </c>
      <c r="R8" s="160">
        <f t="shared" si="0"/>
        <v>25237.77720812256</v>
      </c>
      <c r="S8" s="162">
        <f>R8*1.021</f>
        <v>25767.77052949313</v>
      </c>
      <c r="T8" s="163">
        <f aca="true" t="shared" si="1" ref="T8:W8">S8*1.021</f>
        <v>26308.893710612483</v>
      </c>
      <c r="U8" s="163">
        <f t="shared" si="1"/>
        <v>26861.380478535342</v>
      </c>
      <c r="V8" s="163">
        <f t="shared" si="1"/>
        <v>27425.469468584583</v>
      </c>
      <c r="W8" s="164">
        <f t="shared" si="1"/>
        <v>28001.404327424858</v>
      </c>
      <c r="X8" s="142" t="s">
        <v>51</v>
      </c>
    </row>
    <row r="9" spans="1:24" ht="15" customHeight="1">
      <c r="A9" s="155" t="s">
        <v>52</v>
      </c>
      <c r="B9" s="157"/>
      <c r="C9" s="157"/>
      <c r="D9" s="157"/>
      <c r="E9" s="415"/>
      <c r="F9" s="159">
        <v>23418</v>
      </c>
      <c r="G9" s="160">
        <v>23856</v>
      </c>
      <c r="H9" s="160">
        <v>24313</v>
      </c>
      <c r="I9" s="160">
        <v>24986</v>
      </c>
      <c r="J9" s="160">
        <v>25606</v>
      </c>
      <c r="K9" s="160"/>
      <c r="L9" s="160"/>
      <c r="M9" s="160"/>
      <c r="N9" s="160"/>
      <c r="O9" s="160"/>
      <c r="P9" s="161"/>
      <c r="Q9" s="159"/>
      <c r="R9" s="160"/>
      <c r="S9" s="159"/>
      <c r="T9" s="160"/>
      <c r="U9" s="160"/>
      <c r="V9" s="160"/>
      <c r="W9" s="161"/>
      <c r="X9" s="142"/>
    </row>
    <row r="10" spans="1:24" ht="15" customHeight="1">
      <c r="A10" s="155" t="s">
        <v>53</v>
      </c>
      <c r="B10" s="157"/>
      <c r="C10" s="157"/>
      <c r="D10" s="157"/>
      <c r="E10" s="415"/>
      <c r="F10" s="159"/>
      <c r="G10" s="160">
        <f>5158*11.3</f>
        <v>58285.4</v>
      </c>
      <c r="H10" s="160"/>
      <c r="I10" s="160"/>
      <c r="J10" s="160"/>
      <c r="K10" s="160"/>
      <c r="L10" s="160"/>
      <c r="M10" s="160">
        <f>5453*11.3</f>
        <v>61618.9</v>
      </c>
      <c r="N10" s="160"/>
      <c r="O10" s="160"/>
      <c r="P10" s="161"/>
      <c r="Q10" s="159"/>
      <c r="R10" s="160"/>
      <c r="S10" s="159"/>
      <c r="T10" s="160"/>
      <c r="U10" s="160"/>
      <c r="V10" s="160"/>
      <c r="W10" s="161"/>
      <c r="X10" s="142"/>
    </row>
    <row r="11" spans="1:24" ht="15" customHeight="1">
      <c r="A11" s="155" t="s">
        <v>54</v>
      </c>
      <c r="B11" s="157"/>
      <c r="C11" s="157"/>
      <c r="D11" s="157"/>
      <c r="E11" s="415"/>
      <c r="F11" s="165"/>
      <c r="G11" s="166">
        <f>G10/G8</f>
        <v>2.9318611670020123</v>
      </c>
      <c r="H11" s="166"/>
      <c r="I11" s="166"/>
      <c r="J11" s="166"/>
      <c r="K11" s="166"/>
      <c r="L11" s="166"/>
      <c r="M11" s="166">
        <f>M10/M8</f>
        <v>2.7088911191239977</v>
      </c>
      <c r="N11" s="166"/>
      <c r="O11" s="166"/>
      <c r="P11" s="167"/>
      <c r="Q11" s="165"/>
      <c r="R11" s="166"/>
      <c r="S11" s="165"/>
      <c r="T11" s="166"/>
      <c r="U11" s="166"/>
      <c r="V11" s="166"/>
      <c r="W11" s="167"/>
      <c r="X11" s="142"/>
    </row>
    <row r="12" spans="1:24" ht="15" customHeight="1">
      <c r="A12" s="155" t="s">
        <v>55</v>
      </c>
      <c r="B12" s="157"/>
      <c r="C12" s="156"/>
      <c r="D12" s="157"/>
      <c r="E12" s="415" t="s">
        <v>56</v>
      </c>
      <c r="F12" s="159">
        <v>534.9079463838059</v>
      </c>
      <c r="G12" s="160">
        <v>539.2497921747522</v>
      </c>
      <c r="H12" s="160">
        <v>543.1748996320798</v>
      </c>
      <c r="I12" s="160">
        <v>550.6013359894824</v>
      </c>
      <c r="J12" s="160">
        <v>560.4215751046033</v>
      </c>
      <c r="K12" s="160">
        <v>576.2288096227534</v>
      </c>
      <c r="L12" s="160">
        <v>583.8989769043484</v>
      </c>
      <c r="M12" s="160">
        <f>L12*1.013</f>
        <v>591.4896636041049</v>
      </c>
      <c r="N12" s="168">
        <v>591.4896636041049</v>
      </c>
      <c r="O12" s="168">
        <v>591.4896636041049</v>
      </c>
      <c r="P12" s="169">
        <v>591.4896636041049</v>
      </c>
      <c r="Q12" s="170">
        <v>591.4896636041049</v>
      </c>
      <c r="R12" s="168">
        <v>591.4896636041049</v>
      </c>
      <c r="S12" s="170">
        <f aca="true" t="shared" si="2" ref="S12:S13">R12</f>
        <v>591.4896636041049</v>
      </c>
      <c r="T12" s="168">
        <f aca="true" t="shared" si="3" ref="T12:W13">S12</f>
        <v>591.4896636041049</v>
      </c>
      <c r="U12" s="168">
        <f t="shared" si="3"/>
        <v>591.4896636041049</v>
      </c>
      <c r="V12" s="168">
        <f t="shared" si="3"/>
        <v>591.4896636041049</v>
      </c>
      <c r="W12" s="169">
        <f t="shared" si="3"/>
        <v>591.4896636041049</v>
      </c>
      <c r="X12" s="142" t="s">
        <v>351</v>
      </c>
    </row>
    <row r="13" spans="1:23" ht="15" customHeight="1">
      <c r="A13" s="155" t="s">
        <v>58</v>
      </c>
      <c r="B13" s="157"/>
      <c r="C13" s="156"/>
      <c r="D13" s="157"/>
      <c r="E13" s="415" t="s">
        <v>50</v>
      </c>
      <c r="F13" s="159">
        <f>278*F12</f>
        <v>148704.40909469803</v>
      </c>
      <c r="G13" s="160">
        <f aca="true" t="shared" si="4" ref="G13:R13">278*G12</f>
        <v>149911.44222458111</v>
      </c>
      <c r="H13" s="160">
        <f t="shared" si="4"/>
        <v>151002.62209771818</v>
      </c>
      <c r="I13" s="160">
        <f t="shared" si="4"/>
        <v>153067.1714050761</v>
      </c>
      <c r="J13" s="160">
        <f t="shared" si="4"/>
        <v>155797.19787907973</v>
      </c>
      <c r="K13" s="160">
        <f t="shared" si="4"/>
        <v>160191.60907512545</v>
      </c>
      <c r="L13" s="160">
        <f t="shared" si="4"/>
        <v>162323.91557940884</v>
      </c>
      <c r="M13" s="160">
        <f t="shared" si="4"/>
        <v>164434.12648194114</v>
      </c>
      <c r="N13" s="160">
        <f t="shared" si="4"/>
        <v>164434.12648194114</v>
      </c>
      <c r="O13" s="160">
        <f t="shared" si="4"/>
        <v>164434.12648194114</v>
      </c>
      <c r="P13" s="161">
        <f t="shared" si="4"/>
        <v>164434.12648194114</v>
      </c>
      <c r="Q13" s="159">
        <f t="shared" si="4"/>
        <v>164434.12648194114</v>
      </c>
      <c r="R13" s="160">
        <f t="shared" si="4"/>
        <v>164434.12648194114</v>
      </c>
      <c r="S13" s="159">
        <f t="shared" si="2"/>
        <v>164434.12648194114</v>
      </c>
      <c r="T13" s="160">
        <f t="shared" si="3"/>
        <v>164434.12648194114</v>
      </c>
      <c r="U13" s="160">
        <f t="shared" si="3"/>
        <v>164434.12648194114</v>
      </c>
      <c r="V13" s="160">
        <f t="shared" si="3"/>
        <v>164434.12648194114</v>
      </c>
      <c r="W13" s="161">
        <f t="shared" si="3"/>
        <v>164434.12648194114</v>
      </c>
    </row>
    <row r="14" spans="1:24" ht="15" customHeight="1">
      <c r="A14" s="155" t="s">
        <v>59</v>
      </c>
      <c r="B14" s="157"/>
      <c r="C14" s="156"/>
      <c r="D14" s="157"/>
      <c r="E14" s="415" t="s">
        <v>56</v>
      </c>
      <c r="F14" s="159">
        <v>9214</v>
      </c>
      <c r="G14" s="160">
        <v>9315</v>
      </c>
      <c r="H14" s="160">
        <v>9414</v>
      </c>
      <c r="I14" s="160">
        <v>9534</v>
      </c>
      <c r="J14" s="160">
        <v>9717</v>
      </c>
      <c r="K14" s="160">
        <f>J14*1.013</f>
        <v>9843.321</v>
      </c>
      <c r="L14" s="160">
        <f aca="true" t="shared" si="5" ref="L14:R14">K14*1.013</f>
        <v>9971.284172999998</v>
      </c>
      <c r="M14" s="160">
        <f t="shared" si="5"/>
        <v>10100.910867248997</v>
      </c>
      <c r="N14" s="160">
        <f t="shared" si="5"/>
        <v>10232.222708523232</v>
      </c>
      <c r="O14" s="160">
        <f t="shared" si="5"/>
        <v>10365.241603734032</v>
      </c>
      <c r="P14" s="161">
        <f t="shared" si="5"/>
        <v>10499.989744582574</v>
      </c>
      <c r="Q14" s="159">
        <f t="shared" si="5"/>
        <v>10636.489611262146</v>
      </c>
      <c r="R14" s="160">
        <f t="shared" si="5"/>
        <v>10774.763976208553</v>
      </c>
      <c r="S14" s="159">
        <f>R14*1.013</f>
        <v>10914.835907899263</v>
      </c>
      <c r="T14" s="160">
        <f aca="true" t="shared" si="6" ref="T14:W14">S14*1.013</f>
        <v>11056.728774701953</v>
      </c>
      <c r="U14" s="160">
        <f t="shared" si="6"/>
        <v>11200.466248773077</v>
      </c>
      <c r="V14" s="160">
        <f t="shared" si="6"/>
        <v>11346.072310007126</v>
      </c>
      <c r="W14" s="161">
        <f t="shared" si="6"/>
        <v>11493.571250037217</v>
      </c>
      <c r="X14" s="142" t="s">
        <v>60</v>
      </c>
    </row>
    <row r="15" spans="1:23" ht="15" customHeight="1">
      <c r="A15" s="155" t="s">
        <v>61</v>
      </c>
      <c r="B15" s="157"/>
      <c r="C15" s="156"/>
      <c r="D15" s="157"/>
      <c r="E15" s="415" t="s">
        <v>50</v>
      </c>
      <c r="F15" s="159">
        <f>11.63*F14</f>
        <v>107158.82</v>
      </c>
      <c r="G15" s="160">
        <f aca="true" t="shared" si="7" ref="G15:R15">11.63*G14</f>
        <v>108333.45000000001</v>
      </c>
      <c r="H15" s="160">
        <f t="shared" si="7"/>
        <v>109484.82</v>
      </c>
      <c r="I15" s="160">
        <f t="shared" si="7"/>
        <v>110880.42000000001</v>
      </c>
      <c r="J15" s="160">
        <f t="shared" si="7"/>
        <v>113008.71</v>
      </c>
      <c r="K15" s="160">
        <f t="shared" si="7"/>
        <v>114477.82323000001</v>
      </c>
      <c r="L15" s="160">
        <f t="shared" si="7"/>
        <v>115966.03493198998</v>
      </c>
      <c r="M15" s="160">
        <f t="shared" si="7"/>
        <v>117473.59338610584</v>
      </c>
      <c r="N15" s="160">
        <f t="shared" si="7"/>
        <v>119000.7501001252</v>
      </c>
      <c r="O15" s="160">
        <f t="shared" si="7"/>
        <v>120547.7598514268</v>
      </c>
      <c r="P15" s="161">
        <f t="shared" si="7"/>
        <v>122114.88072949534</v>
      </c>
      <c r="Q15" s="159">
        <f t="shared" si="7"/>
        <v>123702.37417897877</v>
      </c>
      <c r="R15" s="160">
        <f t="shared" si="7"/>
        <v>125310.50504330547</v>
      </c>
      <c r="S15" s="159">
        <f>R15*11.63</f>
        <v>1457361.1736536426</v>
      </c>
      <c r="T15" s="160">
        <f aca="true" t="shared" si="8" ref="T15:W15">S15*11.63</f>
        <v>16949110.449591864</v>
      </c>
      <c r="U15" s="160">
        <f t="shared" si="8"/>
        <v>197118154.5287534</v>
      </c>
      <c r="V15" s="160">
        <f t="shared" si="8"/>
        <v>2292484137.169402</v>
      </c>
      <c r="W15" s="161">
        <f t="shared" si="8"/>
        <v>26661590515.280148</v>
      </c>
    </row>
    <row r="16" spans="1:24" ht="15" customHeight="1">
      <c r="A16" s="155" t="s">
        <v>62</v>
      </c>
      <c r="B16" s="157"/>
      <c r="C16" s="156"/>
      <c r="D16" s="157"/>
      <c r="E16" s="415" t="s">
        <v>50</v>
      </c>
      <c r="F16" s="159">
        <f>G16/1.01</f>
        <v>48086.21860034744</v>
      </c>
      <c r="G16" s="160">
        <f>H16/1.01</f>
        <v>48567.08078635092</v>
      </c>
      <c r="H16" s="160">
        <f>I16/1.015</f>
        <v>49052.75159421443</v>
      </c>
      <c r="I16" s="160">
        <f>J16/1.02</f>
        <v>49788.54286812764</v>
      </c>
      <c r="J16" s="160">
        <f>K16/1.02</f>
        <v>50784.313725490196</v>
      </c>
      <c r="K16" s="171">
        <v>51800</v>
      </c>
      <c r="L16" s="160">
        <f>K16*1.017</f>
        <v>52680.6</v>
      </c>
      <c r="M16" s="171">
        <v>51000</v>
      </c>
      <c r="N16" s="168">
        <v>51000</v>
      </c>
      <c r="O16" s="168">
        <v>50000</v>
      </c>
      <c r="P16" s="169">
        <v>48000</v>
      </c>
      <c r="Q16" s="170">
        <v>46000</v>
      </c>
      <c r="R16" s="168">
        <v>44000</v>
      </c>
      <c r="S16" s="170">
        <f>R16</f>
        <v>44000</v>
      </c>
      <c r="T16" s="168">
        <f>S16</f>
        <v>44000</v>
      </c>
      <c r="U16" s="168">
        <f aca="true" t="shared" si="9" ref="U16:W16">T16</f>
        <v>44000</v>
      </c>
      <c r="V16" s="168">
        <f t="shared" si="9"/>
        <v>44000</v>
      </c>
      <c r="W16" s="169">
        <f t="shared" si="9"/>
        <v>44000</v>
      </c>
      <c r="X16" s="142" t="s">
        <v>63</v>
      </c>
    </row>
    <row r="17" spans="1:24" ht="15" customHeight="1">
      <c r="A17" s="155" t="s">
        <v>64</v>
      </c>
      <c r="B17" s="157"/>
      <c r="C17" s="156"/>
      <c r="D17" s="157"/>
      <c r="E17" s="415" t="s">
        <v>65</v>
      </c>
      <c r="F17" s="159">
        <v>32795.55410647285</v>
      </c>
      <c r="G17" s="160">
        <v>32804.71869141038</v>
      </c>
      <c r="H17" s="160">
        <v>32787.19767306459</v>
      </c>
      <c r="I17" s="160">
        <v>32936.06603613734</v>
      </c>
      <c r="J17" s="160">
        <v>33279.49133386669</v>
      </c>
      <c r="K17" s="171">
        <v>34007.8910352292</v>
      </c>
      <c r="L17" s="160">
        <v>34169.00078208068</v>
      </c>
      <c r="M17" s="171">
        <f>L17*1.01</f>
        <v>34510.690789901484</v>
      </c>
      <c r="N17" s="168">
        <f>M17</f>
        <v>34510.690789901484</v>
      </c>
      <c r="O17" s="168">
        <f>N17*0.98</f>
        <v>33820.476974103454</v>
      </c>
      <c r="P17" s="169">
        <f>O17*0.96</f>
        <v>32467.657895139317</v>
      </c>
      <c r="Q17" s="170">
        <f aca="true" t="shared" si="10" ref="Q17:R17">P17*0.96</f>
        <v>31168.95157933374</v>
      </c>
      <c r="R17" s="168">
        <f t="shared" si="10"/>
        <v>29922.19351616039</v>
      </c>
      <c r="S17" s="170">
        <f>R17*0.96</f>
        <v>28725.305775513974</v>
      </c>
      <c r="T17" s="168">
        <f aca="true" t="shared" si="11" ref="T17:W17">S17*0.96</f>
        <v>27576.293544493416</v>
      </c>
      <c r="U17" s="168">
        <f t="shared" si="11"/>
        <v>26473.241802713677</v>
      </c>
      <c r="V17" s="168">
        <f t="shared" si="11"/>
        <v>25414.31213060513</v>
      </c>
      <c r="W17" s="169">
        <f t="shared" si="11"/>
        <v>24397.739645380923</v>
      </c>
      <c r="X17" s="142"/>
    </row>
    <row r="18" spans="1:24" ht="15" customHeight="1">
      <c r="A18" s="155" t="s">
        <v>66</v>
      </c>
      <c r="B18" s="157"/>
      <c r="C18" s="156"/>
      <c r="D18" s="157"/>
      <c r="E18" s="415" t="s">
        <v>65</v>
      </c>
      <c r="F18" s="172">
        <f>F17/F13</f>
        <v>0.2205419079779132</v>
      </c>
      <c r="G18" s="173">
        <f aca="true" t="shared" si="12" ref="G18:Q18">G17/G13</f>
        <v>0.218827317012039</v>
      </c>
      <c r="H18" s="173">
        <f t="shared" si="12"/>
        <v>0.2171299889868604</v>
      </c>
      <c r="I18" s="173">
        <f t="shared" si="12"/>
        <v>0.21517393791105943</v>
      </c>
      <c r="J18" s="173">
        <f t="shared" si="12"/>
        <v>0.2136077656524747</v>
      </c>
      <c r="K18" s="174">
        <f t="shared" si="12"/>
        <v>0.2122950835663336</v>
      </c>
      <c r="L18" s="173">
        <f t="shared" si="12"/>
        <v>0.21049886986840954</v>
      </c>
      <c r="M18" s="174">
        <f t="shared" si="12"/>
        <v>0.2098754773613955</v>
      </c>
      <c r="N18" s="175">
        <f t="shared" si="12"/>
        <v>0.2098754773613955</v>
      </c>
      <c r="O18" s="175">
        <f t="shared" si="12"/>
        <v>0.20567796781416758</v>
      </c>
      <c r="P18" s="176">
        <f t="shared" si="12"/>
        <v>0.1974508491016009</v>
      </c>
      <c r="Q18" s="177">
        <f t="shared" si="12"/>
        <v>0.18955281513753686</v>
      </c>
      <c r="R18" s="175">
        <f>R17/R13</f>
        <v>0.18197070253203537</v>
      </c>
      <c r="S18" s="177">
        <f>S17/S13</f>
        <v>0.17469187443075396</v>
      </c>
      <c r="T18" s="175">
        <f aca="true" t="shared" si="13" ref="T18:W18">T17/T13</f>
        <v>0.1677041994535238</v>
      </c>
      <c r="U18" s="175">
        <f t="shared" si="13"/>
        <v>0.16099603147538283</v>
      </c>
      <c r="V18" s="175">
        <f t="shared" si="13"/>
        <v>0.15455619021636752</v>
      </c>
      <c r="W18" s="176">
        <f t="shared" si="13"/>
        <v>0.1483739426077128</v>
      </c>
      <c r="X18" s="142"/>
    </row>
    <row r="19" spans="1:24" ht="15" customHeight="1">
      <c r="A19" s="178" t="s">
        <v>67</v>
      </c>
      <c r="B19" s="179"/>
      <c r="C19" s="156"/>
      <c r="D19" s="156"/>
      <c r="E19" s="180">
        <f>'Update Scenarios'!D28</f>
        <v>-0.04</v>
      </c>
      <c r="F19" s="181">
        <v>0.62</v>
      </c>
      <c r="G19" s="182">
        <v>0.61</v>
      </c>
      <c r="H19" s="182">
        <v>0.61</v>
      </c>
      <c r="I19" s="182">
        <v>0.61</v>
      </c>
      <c r="J19" s="182">
        <v>0.6</v>
      </c>
      <c r="K19" s="183">
        <v>0.6</v>
      </c>
      <c r="L19" s="182">
        <v>0.6</v>
      </c>
      <c r="M19" s="183">
        <v>0.59</v>
      </c>
      <c r="N19" s="184">
        <v>0.59</v>
      </c>
      <c r="O19" s="184">
        <v>0.58</v>
      </c>
      <c r="P19" s="185">
        <v>0.57</v>
      </c>
      <c r="Q19" s="186">
        <v>0.55</v>
      </c>
      <c r="R19" s="184">
        <v>0.53</v>
      </c>
      <c r="S19" s="186">
        <f>R19*(1+$E19)</f>
        <v>0.5088</v>
      </c>
      <c r="T19" s="184">
        <f aca="true" t="shared" si="14" ref="T19:W25">S19*(1+$E19)</f>
        <v>0.488448</v>
      </c>
      <c r="U19" s="184">
        <f t="shared" si="14"/>
        <v>0.46891007999999995</v>
      </c>
      <c r="V19" s="184">
        <f t="shared" si="14"/>
        <v>0.45015367679999996</v>
      </c>
      <c r="W19" s="185">
        <f t="shared" si="14"/>
        <v>0.43214752972799997</v>
      </c>
      <c r="X19" s="236"/>
    </row>
    <row r="20" ht="15" customHeight="1"/>
    <row r="21" ht="15" customHeight="1"/>
    <row r="22" spans="1:5" ht="14.5">
      <c r="A22" s="151" t="s">
        <v>352</v>
      </c>
      <c r="B22" s="236"/>
      <c r="C22" s="236"/>
      <c r="D22" s="236"/>
      <c r="E22" s="236"/>
    </row>
    <row r="23" ht="15" customHeight="1"/>
    <row r="24" spans="1:23" ht="30" customHeight="1">
      <c r="A24" s="151" t="s">
        <v>69</v>
      </c>
      <c r="B24" s="153" t="s">
        <v>70</v>
      </c>
      <c r="C24" s="154" t="s">
        <v>71</v>
      </c>
      <c r="D24" s="152" t="s">
        <v>72</v>
      </c>
      <c r="E24" s="154" t="s">
        <v>73</v>
      </c>
      <c r="F24" s="153">
        <v>2013</v>
      </c>
      <c r="G24" s="152">
        <v>2014</v>
      </c>
      <c r="H24" s="152">
        <v>2015</v>
      </c>
      <c r="I24" s="152">
        <v>2016</v>
      </c>
      <c r="J24" s="152">
        <v>2017</v>
      </c>
      <c r="K24" s="152">
        <v>2018</v>
      </c>
      <c r="L24" s="152">
        <v>2019</v>
      </c>
      <c r="M24" s="152">
        <v>2020</v>
      </c>
      <c r="N24" s="152">
        <v>2021</v>
      </c>
      <c r="O24" s="152">
        <v>2022</v>
      </c>
      <c r="P24" s="152">
        <v>2023</v>
      </c>
      <c r="Q24" s="153">
        <v>2024</v>
      </c>
      <c r="R24" s="154">
        <v>2025</v>
      </c>
      <c r="S24" s="152">
        <v>2026</v>
      </c>
      <c r="T24" s="152">
        <v>2027</v>
      </c>
      <c r="U24" s="152">
        <v>2028</v>
      </c>
      <c r="V24" s="152">
        <v>2029</v>
      </c>
      <c r="W24" s="154">
        <v>2030</v>
      </c>
    </row>
    <row r="25" spans="1:24" ht="15" customHeight="1">
      <c r="A25" s="155" t="s">
        <v>74</v>
      </c>
      <c r="B25" s="187">
        <v>-0.06</v>
      </c>
      <c r="C25" s="188">
        <v>-0.02</v>
      </c>
      <c r="D25" s="189">
        <f aca="true" t="shared" si="15" ref="D25:D88">C25</f>
        <v>-0.02</v>
      </c>
      <c r="E25" s="188">
        <f aca="true" t="shared" si="16" ref="E25:E88">C25</f>
        <v>-0.02</v>
      </c>
      <c r="F25" s="159">
        <f aca="true" t="shared" si="17" ref="F25:I37">G25/(1+$B25)</f>
        <v>125.52050021302625</v>
      </c>
      <c r="G25" s="160">
        <f>H25/(1+$B25)</f>
        <v>117.98927020024468</v>
      </c>
      <c r="H25" s="160">
        <f>I25/(1+$B25)</f>
        <v>110.90991398822999</v>
      </c>
      <c r="I25" s="160">
        <f>J25/(1+$B25)</f>
        <v>104.25531914893618</v>
      </c>
      <c r="J25" s="168">
        <v>98</v>
      </c>
      <c r="K25" s="168">
        <f>0.975*J25</f>
        <v>95.55</v>
      </c>
      <c r="L25" s="190">
        <f>0.975*K25</f>
        <v>93.16125</v>
      </c>
      <c r="M25" s="160">
        <f aca="true" t="shared" si="18" ref="M25:P41">L25*(1+$C25)</f>
        <v>91.298025</v>
      </c>
      <c r="N25" s="160">
        <f t="shared" si="18"/>
        <v>89.47206449999999</v>
      </c>
      <c r="O25" s="168">
        <f t="shared" si="18"/>
        <v>87.68262320999999</v>
      </c>
      <c r="P25" s="168">
        <f>O25*(1+$C25)</f>
        <v>85.92897074579999</v>
      </c>
      <c r="Q25" s="170">
        <f aca="true" t="shared" si="19" ref="Q25:R41">P25*(1+$D25)</f>
        <v>84.21039133088398</v>
      </c>
      <c r="R25" s="169">
        <f>Q25*(1+$D25)</f>
        <v>82.5261835042663</v>
      </c>
      <c r="S25" s="168">
        <f aca="true" t="shared" si="20" ref="S25:W41">R25*(1+$E25)</f>
        <v>80.87565983418096</v>
      </c>
      <c r="T25" s="168">
        <f t="shared" si="14"/>
        <v>79.25814663749735</v>
      </c>
      <c r="U25" s="168">
        <f t="shared" si="14"/>
        <v>77.6729837047474</v>
      </c>
      <c r="V25" s="168">
        <f t="shared" si="14"/>
        <v>76.11952403065244</v>
      </c>
      <c r="W25" s="169">
        <f t="shared" si="14"/>
        <v>74.59713355003939</v>
      </c>
      <c r="X25" s="142" t="s">
        <v>75</v>
      </c>
    </row>
    <row r="26" spans="1:24" ht="15" customHeight="1">
      <c r="A26" s="155" t="s">
        <v>76</v>
      </c>
      <c r="B26" s="187">
        <v>-0.02</v>
      </c>
      <c r="C26" s="188">
        <v>0</v>
      </c>
      <c r="D26" s="189">
        <f t="shared" si="15"/>
        <v>0</v>
      </c>
      <c r="E26" s="188">
        <f t="shared" si="16"/>
        <v>0</v>
      </c>
      <c r="F26" s="159">
        <f t="shared" si="17"/>
        <v>130.09989416807275</v>
      </c>
      <c r="G26" s="160">
        <f t="shared" si="17"/>
        <v>127.4978962847113</v>
      </c>
      <c r="H26" s="160">
        <f t="shared" si="17"/>
        <v>124.94793835901707</v>
      </c>
      <c r="I26" s="160">
        <f t="shared" si="17"/>
        <v>122.44897959183673</v>
      </c>
      <c r="J26" s="168">
        <v>120</v>
      </c>
      <c r="K26" s="168">
        <v>120</v>
      </c>
      <c r="L26" s="190">
        <v>120</v>
      </c>
      <c r="M26" s="160">
        <f t="shared" si="18"/>
        <v>120</v>
      </c>
      <c r="N26" s="160">
        <f t="shared" si="18"/>
        <v>120</v>
      </c>
      <c r="O26" s="168">
        <f t="shared" si="18"/>
        <v>120</v>
      </c>
      <c r="P26" s="168">
        <f t="shared" si="18"/>
        <v>120</v>
      </c>
      <c r="Q26" s="170">
        <f t="shared" si="19"/>
        <v>120</v>
      </c>
      <c r="R26" s="169">
        <f t="shared" si="19"/>
        <v>120</v>
      </c>
      <c r="S26" s="168">
        <f t="shared" si="20"/>
        <v>120</v>
      </c>
      <c r="T26" s="168">
        <f t="shared" si="20"/>
        <v>120</v>
      </c>
      <c r="U26" s="168">
        <f t="shared" si="20"/>
        <v>120</v>
      </c>
      <c r="V26" s="168">
        <f t="shared" si="20"/>
        <v>120</v>
      </c>
      <c r="W26" s="169">
        <f t="shared" si="20"/>
        <v>120</v>
      </c>
      <c r="X26" s="142" t="s">
        <v>77</v>
      </c>
    </row>
    <row r="27" spans="1:24" ht="15" customHeight="1">
      <c r="A27" s="155" t="s">
        <v>78</v>
      </c>
      <c r="B27" s="187">
        <v>-0.02</v>
      </c>
      <c r="C27" s="188">
        <v>0</v>
      </c>
      <c r="D27" s="189">
        <f t="shared" si="15"/>
        <v>0</v>
      </c>
      <c r="E27" s="188">
        <f t="shared" si="16"/>
        <v>0</v>
      </c>
      <c r="F27" s="159">
        <f t="shared" si="17"/>
        <v>175.63485712689825</v>
      </c>
      <c r="G27" s="160">
        <f t="shared" si="17"/>
        <v>172.12215998436028</v>
      </c>
      <c r="H27" s="160">
        <f t="shared" si="17"/>
        <v>168.67971678467308</v>
      </c>
      <c r="I27" s="160">
        <f t="shared" si="17"/>
        <v>165.3061224489796</v>
      </c>
      <c r="J27" s="168">
        <v>162</v>
      </c>
      <c r="K27" s="168">
        <v>162</v>
      </c>
      <c r="L27" s="190">
        <v>162</v>
      </c>
      <c r="M27" s="160">
        <f t="shared" si="18"/>
        <v>162</v>
      </c>
      <c r="N27" s="160">
        <f t="shared" si="18"/>
        <v>162</v>
      </c>
      <c r="O27" s="168">
        <f t="shared" si="18"/>
        <v>162</v>
      </c>
      <c r="P27" s="168">
        <f t="shared" si="18"/>
        <v>162</v>
      </c>
      <c r="Q27" s="170">
        <f t="shared" si="19"/>
        <v>162</v>
      </c>
      <c r="R27" s="169">
        <f t="shared" si="19"/>
        <v>162</v>
      </c>
      <c r="S27" s="168">
        <f t="shared" si="20"/>
        <v>162</v>
      </c>
      <c r="T27" s="168">
        <f t="shared" si="20"/>
        <v>162</v>
      </c>
      <c r="U27" s="168">
        <f t="shared" si="20"/>
        <v>162</v>
      </c>
      <c r="V27" s="168">
        <f t="shared" si="20"/>
        <v>162</v>
      </c>
      <c r="W27" s="169">
        <f t="shared" si="20"/>
        <v>162</v>
      </c>
      <c r="X27" s="142" t="s">
        <v>75</v>
      </c>
    </row>
    <row r="28" spans="1:24" ht="15" customHeight="1">
      <c r="A28" s="155" t="s">
        <v>79</v>
      </c>
      <c r="B28" s="187">
        <v>0</v>
      </c>
      <c r="C28" s="188">
        <v>0</v>
      </c>
      <c r="D28" s="189">
        <f t="shared" si="15"/>
        <v>0</v>
      </c>
      <c r="E28" s="188">
        <f t="shared" si="16"/>
        <v>0</v>
      </c>
      <c r="F28" s="159">
        <f t="shared" si="17"/>
        <v>94</v>
      </c>
      <c r="G28" s="160">
        <f t="shared" si="17"/>
        <v>94</v>
      </c>
      <c r="H28" s="160">
        <f t="shared" si="17"/>
        <v>94</v>
      </c>
      <c r="I28" s="160">
        <f t="shared" si="17"/>
        <v>94</v>
      </c>
      <c r="J28" s="168">
        <v>94</v>
      </c>
      <c r="K28" s="168">
        <v>94</v>
      </c>
      <c r="L28" s="190">
        <v>94</v>
      </c>
      <c r="M28" s="160">
        <f t="shared" si="18"/>
        <v>94</v>
      </c>
      <c r="N28" s="160">
        <f t="shared" si="18"/>
        <v>94</v>
      </c>
      <c r="O28" s="168">
        <f t="shared" si="18"/>
        <v>94</v>
      </c>
      <c r="P28" s="168">
        <f t="shared" si="18"/>
        <v>94</v>
      </c>
      <c r="Q28" s="170">
        <f t="shared" si="19"/>
        <v>94</v>
      </c>
      <c r="R28" s="169">
        <f t="shared" si="19"/>
        <v>94</v>
      </c>
      <c r="S28" s="168">
        <f t="shared" si="20"/>
        <v>94</v>
      </c>
      <c r="T28" s="168">
        <f t="shared" si="20"/>
        <v>94</v>
      </c>
      <c r="U28" s="168">
        <f t="shared" si="20"/>
        <v>94</v>
      </c>
      <c r="V28" s="168">
        <f t="shared" si="20"/>
        <v>94</v>
      </c>
      <c r="W28" s="169">
        <f t="shared" si="20"/>
        <v>94</v>
      </c>
      <c r="X28" s="142" t="s">
        <v>80</v>
      </c>
    </row>
    <row r="29" spans="1:24" ht="15" customHeight="1">
      <c r="A29" s="155" t="s">
        <v>81</v>
      </c>
      <c r="B29" s="187">
        <v>0.06</v>
      </c>
      <c r="C29" s="188">
        <v>0.02</v>
      </c>
      <c r="D29" s="189">
        <f t="shared" si="15"/>
        <v>0.02</v>
      </c>
      <c r="E29" s="188">
        <f t="shared" si="16"/>
        <v>0.02</v>
      </c>
      <c r="F29" s="159">
        <f t="shared" si="17"/>
        <v>158.4187326476041</v>
      </c>
      <c r="G29" s="160">
        <f t="shared" si="17"/>
        <v>167.92385660646033</v>
      </c>
      <c r="H29" s="168">
        <f t="shared" si="17"/>
        <v>177.99928800284798</v>
      </c>
      <c r="I29" s="168">
        <f t="shared" si="17"/>
        <v>188.67924528301887</v>
      </c>
      <c r="J29" s="168">
        <v>200</v>
      </c>
      <c r="K29" s="168">
        <f>1.055*J29</f>
        <v>211</v>
      </c>
      <c r="L29" s="190">
        <v>221</v>
      </c>
      <c r="M29" s="160">
        <f t="shared" si="18"/>
        <v>225.42000000000002</v>
      </c>
      <c r="N29" s="160">
        <f t="shared" si="18"/>
        <v>229.9284</v>
      </c>
      <c r="O29" s="168">
        <f t="shared" si="18"/>
        <v>234.526968</v>
      </c>
      <c r="P29" s="168">
        <f t="shared" si="18"/>
        <v>239.21750736</v>
      </c>
      <c r="Q29" s="170">
        <f t="shared" si="19"/>
        <v>244.00185750720001</v>
      </c>
      <c r="R29" s="169">
        <f t="shared" si="19"/>
        <v>248.88189465734402</v>
      </c>
      <c r="S29" s="168">
        <f t="shared" si="20"/>
        <v>253.8595325504909</v>
      </c>
      <c r="T29" s="168">
        <f t="shared" si="20"/>
        <v>258.93672320150074</v>
      </c>
      <c r="U29" s="168">
        <f t="shared" si="20"/>
        <v>264.11545766553076</v>
      </c>
      <c r="V29" s="168">
        <f t="shared" si="20"/>
        <v>269.3977668188414</v>
      </c>
      <c r="W29" s="169">
        <f t="shared" si="20"/>
        <v>274.7857221552182</v>
      </c>
      <c r="X29" s="142" t="s">
        <v>82</v>
      </c>
    </row>
    <row r="30" spans="1:24" ht="15" customHeight="1">
      <c r="A30" s="155" t="s">
        <v>30</v>
      </c>
      <c r="B30" s="187">
        <v>0.07</v>
      </c>
      <c r="C30" s="188">
        <v>0.035</v>
      </c>
      <c r="D30" s="189">
        <f t="shared" si="15"/>
        <v>0.035</v>
      </c>
      <c r="E30" s="188">
        <f t="shared" si="16"/>
        <v>0.035</v>
      </c>
      <c r="F30" s="159">
        <f t="shared" si="17"/>
        <v>1117.6414856496242</v>
      </c>
      <c r="G30" s="160">
        <f t="shared" si="17"/>
        <v>1195.876389645098</v>
      </c>
      <c r="H30" s="160">
        <f t="shared" si="17"/>
        <v>1279.5877369202549</v>
      </c>
      <c r="I30" s="160">
        <f t="shared" si="17"/>
        <v>1369.1588785046729</v>
      </c>
      <c r="J30" s="168">
        <v>1465</v>
      </c>
      <c r="K30" s="168">
        <v>1403</v>
      </c>
      <c r="L30" s="190">
        <v>1371</v>
      </c>
      <c r="M30" s="171">
        <v>1292</v>
      </c>
      <c r="N30" s="160">
        <f t="shared" si="18"/>
        <v>1337.2199999999998</v>
      </c>
      <c r="O30" s="168">
        <f t="shared" si="18"/>
        <v>1384.0226999999998</v>
      </c>
      <c r="P30" s="168">
        <f t="shared" si="18"/>
        <v>1432.4634944999996</v>
      </c>
      <c r="Q30" s="170">
        <f t="shared" si="19"/>
        <v>1482.5997168074994</v>
      </c>
      <c r="R30" s="169">
        <f t="shared" si="19"/>
        <v>1534.4907068957618</v>
      </c>
      <c r="S30" s="168">
        <f t="shared" si="20"/>
        <v>1588.1978816371134</v>
      </c>
      <c r="T30" s="168">
        <f t="shared" si="20"/>
        <v>1643.7848074944122</v>
      </c>
      <c r="U30" s="168">
        <f t="shared" si="20"/>
        <v>1701.3172757567165</v>
      </c>
      <c r="V30" s="168">
        <f t="shared" si="20"/>
        <v>1760.8633804082015</v>
      </c>
      <c r="W30" s="169">
        <f t="shared" si="20"/>
        <v>1822.4935987224883</v>
      </c>
      <c r="X30" s="142" t="s">
        <v>353</v>
      </c>
    </row>
    <row r="31" spans="1:24" ht="15" customHeight="1">
      <c r="A31" s="155" t="s">
        <v>84</v>
      </c>
      <c r="B31" s="187">
        <v>-0.06</v>
      </c>
      <c r="C31" s="188">
        <v>-0.03</v>
      </c>
      <c r="D31" s="189">
        <f t="shared" si="15"/>
        <v>-0.03</v>
      </c>
      <c r="E31" s="188">
        <f t="shared" si="16"/>
        <v>-0.03</v>
      </c>
      <c r="F31" s="159">
        <f t="shared" si="17"/>
        <v>204.93142891922653</v>
      </c>
      <c r="G31" s="160">
        <f t="shared" si="17"/>
        <v>192.63554318407293</v>
      </c>
      <c r="H31" s="160">
        <f t="shared" si="17"/>
        <v>181.07741059302853</v>
      </c>
      <c r="I31" s="160">
        <f t="shared" si="17"/>
        <v>170.2127659574468</v>
      </c>
      <c r="J31" s="168">
        <v>160</v>
      </c>
      <c r="K31" s="168">
        <v>150</v>
      </c>
      <c r="L31" s="190">
        <v>145</v>
      </c>
      <c r="M31" s="160">
        <f t="shared" si="18"/>
        <v>140.65</v>
      </c>
      <c r="N31" s="160">
        <f t="shared" si="18"/>
        <v>136.4305</v>
      </c>
      <c r="O31" s="168">
        <f t="shared" si="18"/>
        <v>132.337585</v>
      </c>
      <c r="P31" s="168">
        <f t="shared" si="18"/>
        <v>128.36745745</v>
      </c>
      <c r="Q31" s="170">
        <f t="shared" si="19"/>
        <v>124.51643372649998</v>
      </c>
      <c r="R31" s="169">
        <f t="shared" si="19"/>
        <v>120.78094071470498</v>
      </c>
      <c r="S31" s="168">
        <f t="shared" si="20"/>
        <v>117.15751249326382</v>
      </c>
      <c r="T31" s="168">
        <f t="shared" si="20"/>
        <v>113.6427871184659</v>
      </c>
      <c r="U31" s="168">
        <f t="shared" si="20"/>
        <v>110.23350350491192</v>
      </c>
      <c r="V31" s="168">
        <f t="shared" si="20"/>
        <v>106.92649839976457</v>
      </c>
      <c r="W31" s="169">
        <f t="shared" si="20"/>
        <v>103.71870344777163</v>
      </c>
      <c r="X31" s="142" t="s">
        <v>85</v>
      </c>
    </row>
    <row r="32" spans="1:24" ht="15" customHeight="1">
      <c r="A32" s="155" t="s">
        <v>86</v>
      </c>
      <c r="B32" s="187">
        <v>-0.12</v>
      </c>
      <c r="C32" s="188">
        <v>-0.14</v>
      </c>
      <c r="D32" s="189">
        <f t="shared" si="15"/>
        <v>-0.14</v>
      </c>
      <c r="E32" s="188">
        <f t="shared" si="16"/>
        <v>-0.14</v>
      </c>
      <c r="F32" s="159">
        <f t="shared" si="17"/>
        <v>833.7566593811897</v>
      </c>
      <c r="G32" s="160">
        <f t="shared" si="17"/>
        <v>733.705860255447</v>
      </c>
      <c r="H32" s="160">
        <f t="shared" si="17"/>
        <v>645.6611570247933</v>
      </c>
      <c r="I32" s="160">
        <f t="shared" si="17"/>
        <v>568.1818181818181</v>
      </c>
      <c r="J32" s="168">
        <v>500</v>
      </c>
      <c r="K32" s="168">
        <f>1890-K30</f>
        <v>487</v>
      </c>
      <c r="L32" s="190">
        <f>1790-L30</f>
        <v>419</v>
      </c>
      <c r="M32" s="160">
        <f t="shared" si="18"/>
        <v>360.34</v>
      </c>
      <c r="N32" s="160">
        <f t="shared" si="18"/>
        <v>309.89239999999995</v>
      </c>
      <c r="O32" s="168">
        <f t="shared" si="18"/>
        <v>266.50746399999997</v>
      </c>
      <c r="P32" s="168">
        <f t="shared" si="18"/>
        <v>229.19641903999997</v>
      </c>
      <c r="Q32" s="170">
        <f t="shared" si="19"/>
        <v>197.10892037439996</v>
      </c>
      <c r="R32" s="169">
        <f t="shared" si="19"/>
        <v>169.51367152198395</v>
      </c>
      <c r="S32" s="168">
        <f t="shared" si="20"/>
        <v>145.7817575089062</v>
      </c>
      <c r="T32" s="168">
        <f t="shared" si="20"/>
        <v>125.37231145765932</v>
      </c>
      <c r="U32" s="168">
        <f t="shared" si="20"/>
        <v>107.82018785358702</v>
      </c>
      <c r="V32" s="168">
        <f t="shared" si="20"/>
        <v>92.72536155408483</v>
      </c>
      <c r="W32" s="169">
        <f t="shared" si="20"/>
        <v>79.74381093651294</v>
      </c>
      <c r="X32" s="142" t="s">
        <v>87</v>
      </c>
    </row>
    <row r="33" spans="1:24" ht="15" customHeight="1">
      <c r="A33" s="155" t="s">
        <v>88</v>
      </c>
      <c r="B33" s="187">
        <v>0.23</v>
      </c>
      <c r="C33" s="192">
        <v>0.3</v>
      </c>
      <c r="D33" s="189">
        <f t="shared" si="15"/>
        <v>0.3</v>
      </c>
      <c r="E33" s="188">
        <f t="shared" si="16"/>
        <v>0.3</v>
      </c>
      <c r="F33" s="159">
        <f t="shared" si="17"/>
        <v>458.74236932857957</v>
      </c>
      <c r="G33" s="160">
        <f t="shared" si="17"/>
        <v>564.2531142741528</v>
      </c>
      <c r="H33" s="168">
        <f t="shared" si="17"/>
        <v>694.031330557208</v>
      </c>
      <c r="I33" s="168">
        <f t="shared" si="17"/>
        <v>853.6585365853658</v>
      </c>
      <c r="J33" s="168">
        <v>1050</v>
      </c>
      <c r="K33" s="168">
        <v>1200</v>
      </c>
      <c r="L33" s="190">
        <v>1400</v>
      </c>
      <c r="M33" s="168">
        <f t="shared" si="18"/>
        <v>1820</v>
      </c>
      <c r="N33" s="160">
        <f t="shared" si="18"/>
        <v>2366</v>
      </c>
      <c r="O33" s="168">
        <f t="shared" si="18"/>
        <v>3075.8</v>
      </c>
      <c r="P33" s="168">
        <f t="shared" si="18"/>
        <v>3998.5400000000004</v>
      </c>
      <c r="Q33" s="170">
        <f t="shared" si="19"/>
        <v>5198.102000000001</v>
      </c>
      <c r="R33" s="169">
        <f t="shared" si="19"/>
        <v>6757.532600000001</v>
      </c>
      <c r="S33" s="168">
        <f t="shared" si="20"/>
        <v>8784.792380000003</v>
      </c>
      <c r="T33" s="168">
        <f t="shared" si="20"/>
        <v>11420.230094000004</v>
      </c>
      <c r="U33" s="168">
        <f>T33*(1+$E33)</f>
        <v>14846.299122200006</v>
      </c>
      <c r="V33" s="168">
        <f t="shared" si="20"/>
        <v>19300.18885886001</v>
      </c>
      <c r="W33" s="169">
        <f t="shared" si="20"/>
        <v>25090.24551651801</v>
      </c>
      <c r="X33" s="142" t="s">
        <v>89</v>
      </c>
    </row>
    <row r="34" spans="1:24" ht="15" customHeight="1">
      <c r="A34" s="155" t="s">
        <v>90</v>
      </c>
      <c r="B34" s="187">
        <v>0</v>
      </c>
      <c r="C34" s="188">
        <v>0</v>
      </c>
      <c r="D34" s="189">
        <f t="shared" si="15"/>
        <v>0</v>
      </c>
      <c r="E34" s="188">
        <f t="shared" si="16"/>
        <v>0</v>
      </c>
      <c r="F34" s="159">
        <f t="shared" si="17"/>
        <v>220</v>
      </c>
      <c r="G34" s="160">
        <f t="shared" si="17"/>
        <v>220</v>
      </c>
      <c r="H34" s="160">
        <f t="shared" si="17"/>
        <v>220</v>
      </c>
      <c r="I34" s="193">
        <f t="shared" si="17"/>
        <v>220</v>
      </c>
      <c r="J34" s="194">
        <v>220</v>
      </c>
      <c r="K34" s="194">
        <v>225</v>
      </c>
      <c r="L34" s="190">
        <v>230</v>
      </c>
      <c r="M34" s="160">
        <f t="shared" si="18"/>
        <v>230</v>
      </c>
      <c r="N34" s="160">
        <f t="shared" si="18"/>
        <v>230</v>
      </c>
      <c r="O34" s="168">
        <f t="shared" si="18"/>
        <v>230</v>
      </c>
      <c r="P34" s="168">
        <f t="shared" si="18"/>
        <v>230</v>
      </c>
      <c r="Q34" s="170">
        <f t="shared" si="19"/>
        <v>230</v>
      </c>
      <c r="R34" s="169">
        <f t="shared" si="19"/>
        <v>230</v>
      </c>
      <c r="S34" s="168">
        <f t="shared" si="20"/>
        <v>230</v>
      </c>
      <c r="T34" s="168">
        <f t="shared" si="20"/>
        <v>230</v>
      </c>
      <c r="U34" s="168">
        <f t="shared" si="20"/>
        <v>230</v>
      </c>
      <c r="V34" s="168">
        <f t="shared" si="20"/>
        <v>230</v>
      </c>
      <c r="W34" s="169">
        <f t="shared" si="20"/>
        <v>230</v>
      </c>
      <c r="X34" s="142" t="s">
        <v>91</v>
      </c>
    </row>
    <row r="35" spans="1:24" ht="15" customHeight="1">
      <c r="A35" s="155" t="s">
        <v>92</v>
      </c>
      <c r="B35" s="187">
        <v>0.12</v>
      </c>
      <c r="C35" s="188">
        <v>0.04</v>
      </c>
      <c r="D35" s="189">
        <f t="shared" si="15"/>
        <v>0.04</v>
      </c>
      <c r="E35" s="188">
        <f t="shared" si="16"/>
        <v>0.04</v>
      </c>
      <c r="F35" s="159">
        <f t="shared" si="17"/>
        <v>121.38395297532274</v>
      </c>
      <c r="G35" s="160">
        <f t="shared" si="17"/>
        <v>135.9500273323615</v>
      </c>
      <c r="H35" s="160">
        <f t="shared" si="17"/>
        <v>152.26403061224488</v>
      </c>
      <c r="I35" s="160">
        <f t="shared" si="17"/>
        <v>170.53571428571428</v>
      </c>
      <c r="J35" s="168">
        <v>191</v>
      </c>
      <c r="K35" s="168">
        <f>L35/1.12</f>
        <v>214.28571428571428</v>
      </c>
      <c r="L35" s="190">
        <v>240</v>
      </c>
      <c r="M35" s="160">
        <f t="shared" si="18"/>
        <v>249.60000000000002</v>
      </c>
      <c r="N35" s="160">
        <f t="shared" si="18"/>
        <v>259.58400000000006</v>
      </c>
      <c r="O35" s="168">
        <f t="shared" si="18"/>
        <v>269.9673600000001</v>
      </c>
      <c r="P35" s="168">
        <f t="shared" si="18"/>
        <v>280.7660544000001</v>
      </c>
      <c r="Q35" s="170">
        <f t="shared" si="19"/>
        <v>291.9966965760001</v>
      </c>
      <c r="R35" s="169">
        <f t="shared" si="19"/>
        <v>303.6765644390401</v>
      </c>
      <c r="S35" s="168">
        <f t="shared" si="20"/>
        <v>315.8236270166017</v>
      </c>
      <c r="T35" s="168">
        <f t="shared" si="20"/>
        <v>328.45657209726573</v>
      </c>
      <c r="U35" s="168">
        <f t="shared" si="20"/>
        <v>341.5948349811564</v>
      </c>
      <c r="V35" s="168">
        <f t="shared" si="20"/>
        <v>355.2586283804027</v>
      </c>
      <c r="W35" s="169">
        <f t="shared" si="20"/>
        <v>369.4689735156188</v>
      </c>
      <c r="X35" s="142" t="s">
        <v>93</v>
      </c>
    </row>
    <row r="36" spans="1:24" ht="15" customHeight="1">
      <c r="A36" s="155" t="s">
        <v>94</v>
      </c>
      <c r="B36" s="187">
        <v>0.01</v>
      </c>
      <c r="C36" s="188">
        <v>0.05</v>
      </c>
      <c r="D36" s="189">
        <f t="shared" si="15"/>
        <v>0.05</v>
      </c>
      <c r="E36" s="188">
        <f t="shared" si="16"/>
        <v>0.05</v>
      </c>
      <c r="F36" s="159">
        <f t="shared" si="17"/>
        <v>37.08182904273067</v>
      </c>
      <c r="G36" s="160">
        <f t="shared" si="17"/>
        <v>37.45264733315798</v>
      </c>
      <c r="H36" s="160">
        <f t="shared" si="17"/>
        <v>37.827173806489554</v>
      </c>
      <c r="I36" s="160">
        <f t="shared" si="17"/>
        <v>38.20544554455445</v>
      </c>
      <c r="J36" s="168">
        <v>38.5875</v>
      </c>
      <c r="K36" s="168">
        <v>42</v>
      </c>
      <c r="L36" s="190">
        <v>37</v>
      </c>
      <c r="M36" s="160">
        <f t="shared" si="18"/>
        <v>38.85</v>
      </c>
      <c r="N36" s="160">
        <f t="shared" si="18"/>
        <v>40.792500000000004</v>
      </c>
      <c r="O36" s="168">
        <f t="shared" si="18"/>
        <v>42.832125000000005</v>
      </c>
      <c r="P36" s="168">
        <f t="shared" si="18"/>
        <v>44.97373125000001</v>
      </c>
      <c r="Q36" s="170">
        <f t="shared" si="19"/>
        <v>47.22241781250001</v>
      </c>
      <c r="R36" s="169">
        <f t="shared" si="19"/>
        <v>49.583538703125015</v>
      </c>
      <c r="S36" s="168">
        <f t="shared" si="20"/>
        <v>52.06271563828127</v>
      </c>
      <c r="T36" s="168">
        <f t="shared" si="20"/>
        <v>54.66585142019533</v>
      </c>
      <c r="U36" s="168">
        <f t="shared" si="20"/>
        <v>57.3991439912051</v>
      </c>
      <c r="V36" s="168">
        <f t="shared" si="20"/>
        <v>60.26910119076536</v>
      </c>
      <c r="W36" s="169">
        <f t="shared" si="20"/>
        <v>63.282556250303635</v>
      </c>
      <c r="X36" s="142" t="s">
        <v>95</v>
      </c>
    </row>
    <row r="37" spans="1:24" ht="15" customHeight="1">
      <c r="A37" s="155" t="s">
        <v>96</v>
      </c>
      <c r="B37" s="187">
        <v>0</v>
      </c>
      <c r="C37" s="188">
        <v>0</v>
      </c>
      <c r="D37" s="189">
        <f t="shared" si="15"/>
        <v>0</v>
      </c>
      <c r="E37" s="188">
        <f t="shared" si="16"/>
        <v>0</v>
      </c>
      <c r="F37" s="159">
        <f t="shared" si="17"/>
        <v>70</v>
      </c>
      <c r="G37" s="160">
        <f t="shared" si="17"/>
        <v>70</v>
      </c>
      <c r="H37" s="160">
        <f t="shared" si="17"/>
        <v>70</v>
      </c>
      <c r="I37" s="160">
        <f t="shared" si="17"/>
        <v>70</v>
      </c>
      <c r="J37" s="168">
        <v>70</v>
      </c>
      <c r="K37" s="168">
        <v>70</v>
      </c>
      <c r="L37" s="190">
        <v>70</v>
      </c>
      <c r="M37" s="160">
        <f t="shared" si="18"/>
        <v>70</v>
      </c>
      <c r="N37" s="160">
        <f t="shared" si="18"/>
        <v>70</v>
      </c>
      <c r="O37" s="168">
        <f t="shared" si="18"/>
        <v>70</v>
      </c>
      <c r="P37" s="168">
        <f t="shared" si="18"/>
        <v>70</v>
      </c>
      <c r="Q37" s="170">
        <f t="shared" si="19"/>
        <v>70</v>
      </c>
      <c r="R37" s="169">
        <f>Q37*(1+$D37)</f>
        <v>70</v>
      </c>
      <c r="S37" s="168">
        <f t="shared" si="20"/>
        <v>70</v>
      </c>
      <c r="T37" s="168">
        <f t="shared" si="20"/>
        <v>70</v>
      </c>
      <c r="U37" s="168">
        <f t="shared" si="20"/>
        <v>70</v>
      </c>
      <c r="V37" s="168">
        <f t="shared" si="20"/>
        <v>70</v>
      </c>
      <c r="W37" s="169">
        <f t="shared" si="20"/>
        <v>70</v>
      </c>
      <c r="X37" s="142" t="s">
        <v>97</v>
      </c>
    </row>
    <row r="38" spans="1:24" ht="15" customHeight="1">
      <c r="A38" s="155" t="s">
        <v>5</v>
      </c>
      <c r="B38" s="187" t="s">
        <v>98</v>
      </c>
      <c r="C38" s="192">
        <v>0.7</v>
      </c>
      <c r="D38" s="189">
        <f t="shared" si="15"/>
        <v>0.7</v>
      </c>
      <c r="E38" s="188">
        <f t="shared" si="16"/>
        <v>0.7</v>
      </c>
      <c r="F38" s="159">
        <v>0</v>
      </c>
      <c r="G38" s="160">
        <v>0</v>
      </c>
      <c r="H38" s="160">
        <v>0</v>
      </c>
      <c r="I38" s="160">
        <v>0</v>
      </c>
      <c r="J38" s="168">
        <v>2</v>
      </c>
      <c r="K38" s="168">
        <v>4</v>
      </c>
      <c r="L38" s="190">
        <v>6</v>
      </c>
      <c r="M38" s="160">
        <f t="shared" si="18"/>
        <v>10.2</v>
      </c>
      <c r="N38" s="168">
        <f t="shared" si="18"/>
        <v>17.34</v>
      </c>
      <c r="O38" s="168">
        <f t="shared" si="18"/>
        <v>29.477999999999998</v>
      </c>
      <c r="P38" s="168">
        <f t="shared" si="18"/>
        <v>50.11259999999999</v>
      </c>
      <c r="Q38" s="170">
        <f t="shared" si="19"/>
        <v>85.19141999999998</v>
      </c>
      <c r="R38" s="169">
        <f t="shared" si="19"/>
        <v>144.82541399999997</v>
      </c>
      <c r="S38" s="168">
        <f t="shared" si="20"/>
        <v>246.20320379999993</v>
      </c>
      <c r="T38" s="168">
        <f t="shared" si="20"/>
        <v>418.5454464599999</v>
      </c>
      <c r="U38" s="168">
        <f t="shared" si="20"/>
        <v>711.5272589819998</v>
      </c>
      <c r="V38" s="168">
        <f t="shared" si="20"/>
        <v>1209.5963402693997</v>
      </c>
      <c r="W38" s="169">
        <f t="shared" si="20"/>
        <v>2056.3137784579794</v>
      </c>
      <c r="X38" s="142" t="s">
        <v>99</v>
      </c>
    </row>
    <row r="39" spans="1:24" ht="15" customHeight="1">
      <c r="A39" s="155" t="s">
        <v>33</v>
      </c>
      <c r="B39" s="187" t="s">
        <v>98</v>
      </c>
      <c r="C39" s="192">
        <v>0.25</v>
      </c>
      <c r="D39" s="189">
        <f t="shared" si="15"/>
        <v>0.25</v>
      </c>
      <c r="E39" s="188">
        <f t="shared" si="16"/>
        <v>0.25</v>
      </c>
      <c r="F39" s="159">
        <v>0</v>
      </c>
      <c r="G39" s="160">
        <v>0</v>
      </c>
      <c r="H39" s="160">
        <v>0</v>
      </c>
      <c r="I39" s="160">
        <v>0</v>
      </c>
      <c r="J39" s="168">
        <v>80</v>
      </c>
      <c r="K39" s="168">
        <v>125</v>
      </c>
      <c r="L39" s="190">
        <v>140</v>
      </c>
      <c r="M39" s="160">
        <f t="shared" si="18"/>
        <v>175</v>
      </c>
      <c r="N39" s="168">
        <f t="shared" si="18"/>
        <v>218.75</v>
      </c>
      <c r="O39" s="168">
        <f t="shared" si="18"/>
        <v>273.4375</v>
      </c>
      <c r="P39" s="168">
        <f t="shared" si="18"/>
        <v>341.796875</v>
      </c>
      <c r="Q39" s="170">
        <f t="shared" si="19"/>
        <v>427.24609375</v>
      </c>
      <c r="R39" s="169">
        <f t="shared" si="19"/>
        <v>534.0576171875</v>
      </c>
      <c r="S39" s="168">
        <f t="shared" si="20"/>
        <v>667.572021484375</v>
      </c>
      <c r="T39" s="168">
        <f t="shared" si="20"/>
        <v>834.4650268554688</v>
      </c>
      <c r="U39" s="168">
        <f t="shared" si="20"/>
        <v>1043.081283569336</v>
      </c>
      <c r="V39" s="168">
        <f t="shared" si="20"/>
        <v>1303.85160446167</v>
      </c>
      <c r="W39" s="169">
        <f t="shared" si="20"/>
        <v>1629.8145055770874</v>
      </c>
      <c r="X39" s="142" t="s">
        <v>100</v>
      </c>
    </row>
    <row r="40" spans="1:24" ht="15" customHeight="1">
      <c r="A40" s="155" t="s">
        <v>101</v>
      </c>
      <c r="B40" s="187" t="s">
        <v>98</v>
      </c>
      <c r="C40" s="192">
        <v>0.15</v>
      </c>
      <c r="D40" s="189">
        <f t="shared" si="15"/>
        <v>0.15</v>
      </c>
      <c r="E40" s="188">
        <f t="shared" si="16"/>
        <v>0.15</v>
      </c>
      <c r="F40" s="159">
        <v>0</v>
      </c>
      <c r="G40" s="160">
        <v>2.5</v>
      </c>
      <c r="H40" s="160">
        <v>2.7</v>
      </c>
      <c r="I40" s="160">
        <v>3</v>
      </c>
      <c r="J40" s="168">
        <v>3.2</v>
      </c>
      <c r="K40" s="168">
        <v>3.5</v>
      </c>
      <c r="L40" s="190">
        <v>3.8</v>
      </c>
      <c r="M40" s="160">
        <f t="shared" si="18"/>
        <v>4.369999999999999</v>
      </c>
      <c r="N40" s="168">
        <f t="shared" si="18"/>
        <v>5.025499999999998</v>
      </c>
      <c r="O40" s="168">
        <f t="shared" si="18"/>
        <v>5.779324999999997</v>
      </c>
      <c r="P40" s="168">
        <f t="shared" si="18"/>
        <v>6.646223749999996</v>
      </c>
      <c r="Q40" s="170">
        <f t="shared" si="19"/>
        <v>7.643157312499995</v>
      </c>
      <c r="R40" s="169">
        <f t="shared" si="19"/>
        <v>8.789630909374994</v>
      </c>
      <c r="S40" s="168">
        <f t="shared" si="20"/>
        <v>10.108075545781242</v>
      </c>
      <c r="T40" s="168">
        <f t="shared" si="20"/>
        <v>11.624286877648426</v>
      </c>
      <c r="U40" s="168">
        <f t="shared" si="20"/>
        <v>13.36792990929569</v>
      </c>
      <c r="V40" s="168">
        <f t="shared" si="20"/>
        <v>15.373119395690042</v>
      </c>
      <c r="W40" s="169">
        <f t="shared" si="20"/>
        <v>17.679087305043545</v>
      </c>
      <c r="X40" s="142" t="s">
        <v>102</v>
      </c>
    </row>
    <row r="41" spans="1:24" ht="15" customHeight="1">
      <c r="A41" s="155" t="s">
        <v>16</v>
      </c>
      <c r="B41" s="195" t="s">
        <v>98</v>
      </c>
      <c r="C41" s="196">
        <v>0.35</v>
      </c>
      <c r="D41" s="189">
        <f t="shared" si="15"/>
        <v>0.35</v>
      </c>
      <c r="E41" s="188">
        <f t="shared" si="16"/>
        <v>0.35</v>
      </c>
      <c r="F41" s="159">
        <v>0</v>
      </c>
      <c r="G41" s="160">
        <v>1</v>
      </c>
      <c r="H41" s="160">
        <v>3</v>
      </c>
      <c r="I41" s="160">
        <v>5</v>
      </c>
      <c r="J41" s="168">
        <v>10</v>
      </c>
      <c r="K41" s="168">
        <v>16</v>
      </c>
      <c r="L41" s="190">
        <v>25</v>
      </c>
      <c r="M41" s="160">
        <f t="shared" si="18"/>
        <v>33.75</v>
      </c>
      <c r="N41" s="168">
        <f t="shared" si="18"/>
        <v>45.5625</v>
      </c>
      <c r="O41" s="168">
        <f t="shared" si="18"/>
        <v>61.509375000000006</v>
      </c>
      <c r="P41" s="168">
        <f t="shared" si="18"/>
        <v>83.03765625000001</v>
      </c>
      <c r="Q41" s="170">
        <f t="shared" si="19"/>
        <v>112.10083593750002</v>
      </c>
      <c r="R41" s="169">
        <f t="shared" si="19"/>
        <v>151.33612851562503</v>
      </c>
      <c r="S41" s="168">
        <f t="shared" si="20"/>
        <v>204.3037734960938</v>
      </c>
      <c r="T41" s="168">
        <f t="shared" si="20"/>
        <v>275.81009421972664</v>
      </c>
      <c r="U41" s="168">
        <f t="shared" si="20"/>
        <v>372.34362719663096</v>
      </c>
      <c r="V41" s="168">
        <f t="shared" si="20"/>
        <v>502.6638967154518</v>
      </c>
      <c r="W41" s="169">
        <f t="shared" si="20"/>
        <v>678.59626056586</v>
      </c>
      <c r="X41" s="142" t="s">
        <v>103</v>
      </c>
    </row>
    <row r="42" spans="1:24" ht="15" customHeight="1">
      <c r="A42" s="197" t="s">
        <v>104</v>
      </c>
      <c r="B42" s="198"/>
      <c r="C42" s="199"/>
      <c r="D42" s="199"/>
      <c r="E42" s="200"/>
      <c r="F42" s="201">
        <f>SUM(F25:F41)</f>
        <v>3747.2117094522746</v>
      </c>
      <c r="G42" s="202">
        <f aca="true" t="shared" si="21" ref="G42:W42">SUM(G25:G41)</f>
        <v>3832.906765100067</v>
      </c>
      <c r="H42" s="202">
        <f t="shared" si="21"/>
        <v>3962.685696648787</v>
      </c>
      <c r="I42" s="202">
        <f t="shared" si="21"/>
        <v>4142.6428255323435</v>
      </c>
      <c r="J42" s="203">
        <f t="shared" si="21"/>
        <v>4463.787499999999</v>
      </c>
      <c r="K42" s="203">
        <f t="shared" si="21"/>
        <v>4622.335714285715</v>
      </c>
      <c r="L42" s="204">
        <f t="shared" si="21"/>
        <v>4776.96125</v>
      </c>
      <c r="M42" s="202">
        <f t="shared" si="21"/>
        <v>5117.478025</v>
      </c>
      <c r="N42" s="203">
        <f t="shared" si="21"/>
        <v>5731.997864499999</v>
      </c>
      <c r="O42" s="203">
        <f t="shared" si="21"/>
        <v>6539.88102521</v>
      </c>
      <c r="P42" s="203">
        <f t="shared" si="21"/>
        <v>7597.046989745801</v>
      </c>
      <c r="Q42" s="205">
        <f t="shared" si="21"/>
        <v>8977.93994113498</v>
      </c>
      <c r="R42" s="206">
        <f t="shared" si="21"/>
        <v>10781.99489104873</v>
      </c>
      <c r="S42" s="203">
        <f t="shared" si="21"/>
        <v>13142.738141005091</v>
      </c>
      <c r="T42" s="203">
        <f t="shared" si="21"/>
        <v>16240.792147839846</v>
      </c>
      <c r="U42" s="203">
        <f t="shared" si="21"/>
        <v>20322.772609315125</v>
      </c>
      <c r="V42" s="203">
        <f t="shared" si="21"/>
        <v>25729.23408048493</v>
      </c>
      <c r="W42" s="206">
        <f t="shared" si="21"/>
        <v>32936.73964700193</v>
      </c>
      <c r="X42" s="142"/>
    </row>
    <row r="43" spans="1:23" ht="15" customHeight="1">
      <c r="A43" s="207"/>
      <c r="B43" s="207"/>
      <c r="C43" s="207"/>
      <c r="D43" s="207"/>
      <c r="E43" s="207"/>
      <c r="F43" s="142"/>
      <c r="G43" s="142"/>
      <c r="H43" s="142"/>
      <c r="I43" s="142"/>
      <c r="J43" s="142"/>
      <c r="K43" s="142"/>
      <c r="L43" s="142"/>
      <c r="M43" s="208"/>
      <c r="N43" s="208"/>
      <c r="O43" s="208"/>
      <c r="P43" s="208"/>
      <c r="Q43" s="208"/>
      <c r="R43" s="208"/>
      <c r="S43" s="208"/>
      <c r="T43" s="208"/>
      <c r="U43" s="208"/>
      <c r="V43" s="208"/>
      <c r="W43" s="208"/>
    </row>
    <row r="44" spans="1:23" ht="15" customHeight="1">
      <c r="A44" s="207"/>
      <c r="B44" s="207"/>
      <c r="C44" s="207"/>
      <c r="D44" s="207"/>
      <c r="E44" s="207"/>
      <c r="F44" s="142"/>
      <c r="G44" s="142"/>
      <c r="H44" s="142"/>
      <c r="I44" s="142"/>
      <c r="J44" s="142"/>
      <c r="K44" s="142"/>
      <c r="L44" s="142"/>
      <c r="M44" s="208"/>
      <c r="N44" s="208"/>
      <c r="O44" s="208"/>
      <c r="P44" s="208"/>
      <c r="Q44" s="208"/>
      <c r="R44" s="208"/>
      <c r="S44" s="208"/>
      <c r="T44" s="208"/>
      <c r="U44" s="208"/>
      <c r="V44" s="208"/>
      <c r="W44" s="208"/>
    </row>
    <row r="45" spans="1:23" ht="42.75">
      <c r="A45" s="151" t="s">
        <v>105</v>
      </c>
      <c r="B45" s="153" t="s">
        <v>354</v>
      </c>
      <c r="C45" s="154" t="s">
        <v>71</v>
      </c>
      <c r="D45" s="153" t="s">
        <v>72</v>
      </c>
      <c r="E45" s="154" t="s">
        <v>73</v>
      </c>
      <c r="F45" s="153">
        <v>2013</v>
      </c>
      <c r="G45" s="152">
        <v>2014</v>
      </c>
      <c r="H45" s="152">
        <v>2015</v>
      </c>
      <c r="I45" s="152">
        <v>2016</v>
      </c>
      <c r="J45" s="152">
        <v>2017</v>
      </c>
      <c r="K45" s="152">
        <v>2018</v>
      </c>
      <c r="L45" s="152">
        <v>2019</v>
      </c>
      <c r="M45" s="152">
        <v>2020</v>
      </c>
      <c r="N45" s="152">
        <v>2021</v>
      </c>
      <c r="O45" s="152">
        <v>2022</v>
      </c>
      <c r="P45" s="152">
        <v>2023</v>
      </c>
      <c r="Q45" s="153">
        <v>2024</v>
      </c>
      <c r="R45" s="154">
        <v>2025</v>
      </c>
      <c r="S45" s="153">
        <v>2026</v>
      </c>
      <c r="T45" s="152">
        <v>2027</v>
      </c>
      <c r="U45" s="152">
        <v>2028</v>
      </c>
      <c r="V45" s="152">
        <v>2029</v>
      </c>
      <c r="W45" s="154">
        <v>2030</v>
      </c>
    </row>
    <row r="46" spans="1:24" ht="15" customHeight="1">
      <c r="A46" s="155" t="s">
        <v>74</v>
      </c>
      <c r="B46" s="209">
        <v>0</v>
      </c>
      <c r="C46" s="210">
        <v>-0.01</v>
      </c>
      <c r="D46" s="209">
        <f t="shared" si="15"/>
        <v>-0.01</v>
      </c>
      <c r="E46" s="210">
        <f t="shared" si="16"/>
        <v>-0.01</v>
      </c>
      <c r="F46" s="159">
        <f aca="true" t="shared" si="22" ref="F46:K101">G46/(1+$B46)</f>
        <v>450</v>
      </c>
      <c r="G46" s="160">
        <f t="shared" si="22"/>
        <v>450</v>
      </c>
      <c r="H46" s="160">
        <f t="shared" si="22"/>
        <v>450</v>
      </c>
      <c r="I46" s="160">
        <f t="shared" si="22"/>
        <v>450</v>
      </c>
      <c r="J46" s="160">
        <f t="shared" si="22"/>
        <v>450</v>
      </c>
      <c r="K46" s="160">
        <f>L46/(1+$B46)</f>
        <v>450</v>
      </c>
      <c r="L46" s="190">
        <v>450</v>
      </c>
      <c r="M46" s="160">
        <f aca="true" t="shared" si="23" ref="M46:P100">L46*(1+$C46)</f>
        <v>445.5</v>
      </c>
      <c r="N46" s="160">
        <f t="shared" si="23"/>
        <v>441.045</v>
      </c>
      <c r="O46" s="160">
        <f t="shared" si="23"/>
        <v>436.63455</v>
      </c>
      <c r="P46" s="160">
        <f t="shared" si="23"/>
        <v>432.26820449999997</v>
      </c>
      <c r="Q46" s="159">
        <f aca="true" t="shared" si="24" ref="Q46:R99">P46*(1+$D46)</f>
        <v>427.94552245499995</v>
      </c>
      <c r="R46" s="161">
        <f>Q46*(1+$D46)</f>
        <v>423.6660672304499</v>
      </c>
      <c r="S46" s="159">
        <f aca="true" t="shared" si="25" ref="S46:W99">R46*(1+$E46)</f>
        <v>419.42940655814544</v>
      </c>
      <c r="T46" s="160">
        <f aca="true" t="shared" si="26" ref="T46:W46">S46*(1+$E46)</f>
        <v>415.235112492564</v>
      </c>
      <c r="U46" s="160">
        <f t="shared" si="26"/>
        <v>411.08276136763834</v>
      </c>
      <c r="V46" s="160">
        <f t="shared" si="26"/>
        <v>406.97193375396193</v>
      </c>
      <c r="W46" s="161">
        <f t="shared" si="26"/>
        <v>402.90221441642234</v>
      </c>
      <c r="X46" s="142" t="s">
        <v>106</v>
      </c>
    </row>
    <row r="47" spans="1:24" ht="15" customHeight="1">
      <c r="A47" s="155" t="s">
        <v>76</v>
      </c>
      <c r="B47" s="209">
        <v>0.04</v>
      </c>
      <c r="C47" s="210">
        <v>0.04</v>
      </c>
      <c r="D47" s="209">
        <f t="shared" si="15"/>
        <v>0.04</v>
      </c>
      <c r="E47" s="210">
        <f t="shared" si="16"/>
        <v>0.04</v>
      </c>
      <c r="F47" s="159">
        <f t="shared" si="22"/>
        <v>331.9321008066612</v>
      </c>
      <c r="G47" s="160">
        <f t="shared" si="22"/>
        <v>345.20938483892763</v>
      </c>
      <c r="H47" s="160">
        <f t="shared" si="22"/>
        <v>359.01776023248476</v>
      </c>
      <c r="I47" s="160">
        <f t="shared" si="22"/>
        <v>373.3784706417842</v>
      </c>
      <c r="J47" s="160">
        <f t="shared" si="22"/>
        <v>388.3136094674556</v>
      </c>
      <c r="K47" s="160">
        <f t="shared" si="22"/>
        <v>403.8461538461538</v>
      </c>
      <c r="L47" s="190">
        <v>420</v>
      </c>
      <c r="M47" s="160">
        <f t="shared" si="23"/>
        <v>436.8</v>
      </c>
      <c r="N47" s="160">
        <f t="shared" si="23"/>
        <v>454.27200000000005</v>
      </c>
      <c r="O47" s="160">
        <f t="shared" si="23"/>
        <v>472.44288000000006</v>
      </c>
      <c r="P47" s="160">
        <f t="shared" si="23"/>
        <v>491.34059520000005</v>
      </c>
      <c r="Q47" s="159">
        <f t="shared" si="24"/>
        <v>510.9942190080001</v>
      </c>
      <c r="R47" s="161">
        <f t="shared" si="24"/>
        <v>531.4339877683201</v>
      </c>
      <c r="S47" s="159">
        <f t="shared" si="25"/>
        <v>552.6913472790529</v>
      </c>
      <c r="T47" s="160">
        <f t="shared" si="25"/>
        <v>574.7990011702151</v>
      </c>
      <c r="U47" s="160">
        <f t="shared" si="25"/>
        <v>597.7909612170237</v>
      </c>
      <c r="V47" s="160">
        <f t="shared" si="25"/>
        <v>621.7025996657046</v>
      </c>
      <c r="W47" s="161">
        <f t="shared" si="25"/>
        <v>646.5707036523328</v>
      </c>
      <c r="X47" s="142" t="s">
        <v>106</v>
      </c>
    </row>
    <row r="48" spans="1:27" ht="15" customHeight="1">
      <c r="A48" s="155" t="s">
        <v>78</v>
      </c>
      <c r="B48" s="209">
        <v>0</v>
      </c>
      <c r="C48" s="210">
        <v>-0.01</v>
      </c>
      <c r="D48" s="209">
        <f t="shared" si="15"/>
        <v>-0.01</v>
      </c>
      <c r="E48" s="210">
        <f t="shared" si="16"/>
        <v>-0.01</v>
      </c>
      <c r="F48" s="159">
        <f t="shared" si="22"/>
        <v>400</v>
      </c>
      <c r="G48" s="160">
        <f t="shared" si="22"/>
        <v>400</v>
      </c>
      <c r="H48" s="160">
        <f t="shared" si="22"/>
        <v>400</v>
      </c>
      <c r="I48" s="160">
        <f t="shared" si="22"/>
        <v>400</v>
      </c>
      <c r="J48" s="160">
        <f t="shared" si="22"/>
        <v>400</v>
      </c>
      <c r="K48" s="160">
        <f t="shared" si="22"/>
        <v>400</v>
      </c>
      <c r="L48" s="190">
        <v>400</v>
      </c>
      <c r="M48" s="160">
        <f t="shared" si="23"/>
        <v>396</v>
      </c>
      <c r="N48" s="160">
        <f t="shared" si="23"/>
        <v>392.04</v>
      </c>
      <c r="O48" s="160">
        <f t="shared" si="23"/>
        <v>388.1196</v>
      </c>
      <c r="P48" s="160">
        <f t="shared" si="23"/>
        <v>384.238404</v>
      </c>
      <c r="Q48" s="159">
        <f t="shared" si="24"/>
        <v>380.39601996</v>
      </c>
      <c r="R48" s="161">
        <f t="shared" si="24"/>
        <v>376.5920597604</v>
      </c>
      <c r="S48" s="159">
        <f t="shared" si="25"/>
        <v>372.826139162796</v>
      </c>
      <c r="T48" s="160">
        <f t="shared" si="25"/>
        <v>369.09787777116804</v>
      </c>
      <c r="U48" s="160">
        <f t="shared" si="25"/>
        <v>365.40689899345637</v>
      </c>
      <c r="V48" s="160">
        <f t="shared" si="25"/>
        <v>361.7528300035218</v>
      </c>
      <c r="W48" s="161">
        <f t="shared" si="25"/>
        <v>358.13530170348656</v>
      </c>
      <c r="X48" s="142" t="s">
        <v>107</v>
      </c>
      <c r="Y48" s="142"/>
      <c r="Z48" s="142"/>
      <c r="AA48" s="142"/>
    </row>
    <row r="49" spans="1:24" ht="15" customHeight="1">
      <c r="A49" s="155" t="s">
        <v>79</v>
      </c>
      <c r="B49" s="209">
        <v>0.02</v>
      </c>
      <c r="C49" s="210">
        <v>0.01</v>
      </c>
      <c r="D49" s="209">
        <f t="shared" si="15"/>
        <v>0.01</v>
      </c>
      <c r="E49" s="210">
        <f t="shared" si="16"/>
        <v>0.01</v>
      </c>
      <c r="F49" s="159">
        <f t="shared" si="22"/>
        <v>221.992845546548</v>
      </c>
      <c r="G49" s="160">
        <f t="shared" si="22"/>
        <v>226.43270245747897</v>
      </c>
      <c r="H49" s="160">
        <f t="shared" si="22"/>
        <v>230.96135650662856</v>
      </c>
      <c r="I49" s="160">
        <f t="shared" si="22"/>
        <v>235.58058363676113</v>
      </c>
      <c r="J49" s="160">
        <f t="shared" si="22"/>
        <v>240.29219530949635</v>
      </c>
      <c r="K49" s="160">
        <f t="shared" si="22"/>
        <v>245.09803921568627</v>
      </c>
      <c r="L49" s="171">
        <v>250</v>
      </c>
      <c r="M49" s="160">
        <f t="shared" si="23"/>
        <v>252.5</v>
      </c>
      <c r="N49" s="160">
        <f t="shared" si="23"/>
        <v>255.025</v>
      </c>
      <c r="O49" s="160">
        <f t="shared" si="23"/>
        <v>257.57525</v>
      </c>
      <c r="P49" s="160">
        <f t="shared" si="23"/>
        <v>260.1510025</v>
      </c>
      <c r="Q49" s="159">
        <f t="shared" si="24"/>
        <v>262.752512525</v>
      </c>
      <c r="R49" s="161">
        <f t="shared" si="24"/>
        <v>265.38003765024996</v>
      </c>
      <c r="S49" s="159">
        <f t="shared" si="25"/>
        <v>268.03383802675245</v>
      </c>
      <c r="T49" s="160">
        <f t="shared" si="25"/>
        <v>270.71417640702</v>
      </c>
      <c r="U49" s="160">
        <f t="shared" si="25"/>
        <v>273.4213181710902</v>
      </c>
      <c r="V49" s="160">
        <f t="shared" si="25"/>
        <v>276.1555313528011</v>
      </c>
      <c r="W49" s="161">
        <f t="shared" si="25"/>
        <v>278.9170866663291</v>
      </c>
      <c r="X49" s="142" t="s">
        <v>108</v>
      </c>
    </row>
    <row r="50" spans="1:24" ht="15" customHeight="1">
      <c r="A50" s="155" t="s">
        <v>81</v>
      </c>
      <c r="B50" s="209">
        <v>-0.01</v>
      </c>
      <c r="C50" s="210">
        <v>-0.02</v>
      </c>
      <c r="D50" s="209">
        <f t="shared" si="15"/>
        <v>-0.02</v>
      </c>
      <c r="E50" s="210">
        <f t="shared" si="16"/>
        <v>-0.02</v>
      </c>
      <c r="F50" s="159">
        <f t="shared" si="22"/>
        <v>106.21572856700507</v>
      </c>
      <c r="G50" s="160">
        <f t="shared" si="22"/>
        <v>105.15357128133502</v>
      </c>
      <c r="H50" s="160">
        <f t="shared" si="22"/>
        <v>104.10203556852167</v>
      </c>
      <c r="I50" s="160">
        <f t="shared" si="22"/>
        <v>103.06101521283645</v>
      </c>
      <c r="J50" s="160">
        <f t="shared" si="22"/>
        <v>102.03040506070809</v>
      </c>
      <c r="K50" s="168">
        <f t="shared" si="22"/>
        <v>101.01010101010101</v>
      </c>
      <c r="L50" s="171">
        <v>100</v>
      </c>
      <c r="M50" s="160">
        <f t="shared" si="23"/>
        <v>98</v>
      </c>
      <c r="N50" s="160">
        <f t="shared" si="23"/>
        <v>96.03999999999999</v>
      </c>
      <c r="O50" s="160">
        <f t="shared" si="23"/>
        <v>94.11919999999999</v>
      </c>
      <c r="P50" s="160">
        <f t="shared" si="23"/>
        <v>92.23681599999999</v>
      </c>
      <c r="Q50" s="159">
        <f t="shared" si="24"/>
        <v>90.39207968</v>
      </c>
      <c r="R50" s="161">
        <f t="shared" si="24"/>
        <v>88.58423808639999</v>
      </c>
      <c r="S50" s="159">
        <f t="shared" si="25"/>
        <v>86.812553324672</v>
      </c>
      <c r="T50" s="160">
        <f t="shared" si="25"/>
        <v>85.07630225817856</v>
      </c>
      <c r="U50" s="160">
        <f t="shared" si="25"/>
        <v>83.37477621301498</v>
      </c>
      <c r="V50" s="160">
        <f t="shared" si="25"/>
        <v>81.70728068875468</v>
      </c>
      <c r="W50" s="161">
        <f t="shared" si="25"/>
        <v>80.07313507497959</v>
      </c>
      <c r="X50" s="142" t="s">
        <v>109</v>
      </c>
    </row>
    <row r="51" spans="1:24" ht="15" customHeight="1">
      <c r="A51" s="155" t="s">
        <v>30</v>
      </c>
      <c r="B51" s="209">
        <v>0.1</v>
      </c>
      <c r="C51" s="210">
        <v>0.05</v>
      </c>
      <c r="D51" s="209">
        <f t="shared" si="15"/>
        <v>0.05</v>
      </c>
      <c r="E51" s="210">
        <f t="shared" si="16"/>
        <v>0.05</v>
      </c>
      <c r="F51" s="159">
        <f t="shared" si="22"/>
        <v>47.980284054571065</v>
      </c>
      <c r="G51" s="160">
        <f t="shared" si="22"/>
        <v>52.778312460028175</v>
      </c>
      <c r="H51" s="160">
        <f t="shared" si="22"/>
        <v>58.056143706030994</v>
      </c>
      <c r="I51" s="160">
        <f t="shared" si="22"/>
        <v>63.861758076634096</v>
      </c>
      <c r="J51" s="160">
        <f t="shared" si="22"/>
        <v>70.24793388429751</v>
      </c>
      <c r="K51" s="160">
        <f t="shared" si="22"/>
        <v>77.27272727272727</v>
      </c>
      <c r="L51" s="190">
        <v>85</v>
      </c>
      <c r="M51" s="160">
        <f t="shared" si="23"/>
        <v>89.25</v>
      </c>
      <c r="N51" s="160">
        <f t="shared" si="23"/>
        <v>93.7125</v>
      </c>
      <c r="O51" s="160">
        <f t="shared" si="23"/>
        <v>98.39812500000001</v>
      </c>
      <c r="P51" s="160">
        <f t="shared" si="23"/>
        <v>103.31803125000002</v>
      </c>
      <c r="Q51" s="159">
        <f t="shared" si="24"/>
        <v>108.48393281250003</v>
      </c>
      <c r="R51" s="161">
        <f t="shared" si="24"/>
        <v>113.90812945312504</v>
      </c>
      <c r="S51" s="159">
        <f t="shared" si="25"/>
        <v>119.6035359257813</v>
      </c>
      <c r="T51" s="160">
        <f t="shared" si="25"/>
        <v>125.58371272207037</v>
      </c>
      <c r="U51" s="160">
        <f t="shared" si="25"/>
        <v>131.8628983581739</v>
      </c>
      <c r="V51" s="160">
        <f t="shared" si="25"/>
        <v>138.4560432760826</v>
      </c>
      <c r="W51" s="161">
        <f t="shared" si="25"/>
        <v>145.37884543988673</v>
      </c>
      <c r="X51" s="142" t="s">
        <v>110</v>
      </c>
    </row>
    <row r="52" spans="1:24" ht="15" customHeight="1">
      <c r="A52" s="155" t="s">
        <v>84</v>
      </c>
      <c r="B52" s="209">
        <v>0.1</v>
      </c>
      <c r="C52" s="210">
        <v>0.05</v>
      </c>
      <c r="D52" s="209">
        <f t="shared" si="15"/>
        <v>0.05</v>
      </c>
      <c r="E52" s="210">
        <f t="shared" si="16"/>
        <v>0.05</v>
      </c>
      <c r="F52" s="159">
        <f t="shared" si="22"/>
        <v>112.89478601075544</v>
      </c>
      <c r="G52" s="160">
        <f t="shared" si="22"/>
        <v>124.184264611831</v>
      </c>
      <c r="H52" s="160">
        <f t="shared" si="22"/>
        <v>136.6026910730141</v>
      </c>
      <c r="I52" s="160">
        <f t="shared" si="22"/>
        <v>150.26296018031553</v>
      </c>
      <c r="J52" s="160">
        <f t="shared" si="22"/>
        <v>165.2892561983471</v>
      </c>
      <c r="K52" s="160">
        <f t="shared" si="22"/>
        <v>181.8181818181818</v>
      </c>
      <c r="L52" s="190">
        <v>200</v>
      </c>
      <c r="M52" s="160">
        <f t="shared" si="23"/>
        <v>210</v>
      </c>
      <c r="N52" s="160">
        <f t="shared" si="23"/>
        <v>220.5</v>
      </c>
      <c r="O52" s="160">
        <f t="shared" si="23"/>
        <v>231.525</v>
      </c>
      <c r="P52" s="160">
        <f t="shared" si="23"/>
        <v>243.10125000000002</v>
      </c>
      <c r="Q52" s="159">
        <f t="shared" si="24"/>
        <v>255.25631250000004</v>
      </c>
      <c r="R52" s="161">
        <f t="shared" si="24"/>
        <v>268.01912812500007</v>
      </c>
      <c r="S52" s="159">
        <f t="shared" si="25"/>
        <v>281.4200845312501</v>
      </c>
      <c r="T52" s="160">
        <f t="shared" si="25"/>
        <v>295.49108875781263</v>
      </c>
      <c r="U52" s="160">
        <f t="shared" si="25"/>
        <v>310.26564319570326</v>
      </c>
      <c r="V52" s="160">
        <f t="shared" si="25"/>
        <v>325.7789253554884</v>
      </c>
      <c r="W52" s="161">
        <f t="shared" si="25"/>
        <v>342.0678716232629</v>
      </c>
      <c r="X52" s="142" t="s">
        <v>110</v>
      </c>
    </row>
    <row r="53" spans="1:24" ht="15" customHeight="1">
      <c r="A53" s="155" t="s">
        <v>86</v>
      </c>
      <c r="B53" s="209">
        <v>0</v>
      </c>
      <c r="C53" s="210">
        <v>0</v>
      </c>
      <c r="D53" s="209">
        <f t="shared" si="15"/>
        <v>0</v>
      </c>
      <c r="E53" s="210">
        <f t="shared" si="16"/>
        <v>0</v>
      </c>
      <c r="F53" s="159">
        <f t="shared" si="22"/>
        <v>20</v>
      </c>
      <c r="G53" s="160">
        <f t="shared" si="22"/>
        <v>20</v>
      </c>
      <c r="H53" s="160">
        <f t="shared" si="22"/>
        <v>20</v>
      </c>
      <c r="I53" s="160">
        <f t="shared" si="22"/>
        <v>20</v>
      </c>
      <c r="J53" s="160">
        <f t="shared" si="22"/>
        <v>20</v>
      </c>
      <c r="K53" s="160">
        <f t="shared" si="22"/>
        <v>20</v>
      </c>
      <c r="L53" s="171">
        <v>20</v>
      </c>
      <c r="M53" s="160">
        <f t="shared" si="23"/>
        <v>20</v>
      </c>
      <c r="N53" s="160">
        <f t="shared" si="23"/>
        <v>20</v>
      </c>
      <c r="O53" s="160">
        <f t="shared" si="23"/>
        <v>20</v>
      </c>
      <c r="P53" s="160">
        <f t="shared" si="23"/>
        <v>20</v>
      </c>
      <c r="Q53" s="159">
        <f t="shared" si="24"/>
        <v>20</v>
      </c>
      <c r="R53" s="161">
        <f t="shared" si="24"/>
        <v>20</v>
      </c>
      <c r="S53" s="159">
        <f t="shared" si="25"/>
        <v>20</v>
      </c>
      <c r="T53" s="160">
        <f t="shared" si="25"/>
        <v>20</v>
      </c>
      <c r="U53" s="160">
        <f t="shared" si="25"/>
        <v>20</v>
      </c>
      <c r="V53" s="160">
        <f t="shared" si="25"/>
        <v>20</v>
      </c>
      <c r="W53" s="161">
        <f t="shared" si="25"/>
        <v>20</v>
      </c>
      <c r="X53" s="142" t="s">
        <v>111</v>
      </c>
    </row>
    <row r="54" spans="1:24" ht="14.5">
      <c r="A54" s="212" t="s">
        <v>88</v>
      </c>
      <c r="B54" s="213">
        <v>0.05</v>
      </c>
      <c r="C54" s="214">
        <v>0.05</v>
      </c>
      <c r="D54" s="209">
        <f t="shared" si="15"/>
        <v>0.05</v>
      </c>
      <c r="E54" s="210">
        <f t="shared" si="16"/>
        <v>0.05</v>
      </c>
      <c r="F54" s="159">
        <f t="shared" si="22"/>
        <v>1.1193230949549413</v>
      </c>
      <c r="G54" s="160">
        <f t="shared" si="22"/>
        <v>1.1752892497026883</v>
      </c>
      <c r="H54" s="160">
        <f t="shared" si="22"/>
        <v>1.2340537121878228</v>
      </c>
      <c r="I54" s="160">
        <f t="shared" si="22"/>
        <v>1.295756397797214</v>
      </c>
      <c r="J54" s="160">
        <f t="shared" si="22"/>
        <v>1.3605442176870748</v>
      </c>
      <c r="K54" s="160">
        <f t="shared" si="22"/>
        <v>1.4285714285714286</v>
      </c>
      <c r="L54" s="171">
        <f>5*0.3</f>
        <v>1.5</v>
      </c>
      <c r="M54" s="160">
        <f t="shared" si="23"/>
        <v>1.5750000000000002</v>
      </c>
      <c r="N54" s="160">
        <f t="shared" si="23"/>
        <v>1.6537500000000003</v>
      </c>
      <c r="O54" s="160">
        <f t="shared" si="23"/>
        <v>1.7364375000000003</v>
      </c>
      <c r="P54" s="160">
        <f t="shared" si="23"/>
        <v>1.8232593750000003</v>
      </c>
      <c r="Q54" s="159">
        <f t="shared" si="24"/>
        <v>1.9144223437500005</v>
      </c>
      <c r="R54" s="161">
        <f t="shared" si="24"/>
        <v>2.010143460937501</v>
      </c>
      <c r="S54" s="159">
        <f t="shared" si="25"/>
        <v>2.110650633984376</v>
      </c>
      <c r="T54" s="160">
        <f t="shared" si="25"/>
        <v>2.216183165683595</v>
      </c>
      <c r="U54" s="160">
        <f t="shared" si="25"/>
        <v>2.3269923239677746</v>
      </c>
      <c r="V54" s="160">
        <f t="shared" si="25"/>
        <v>2.4433419401661634</v>
      </c>
      <c r="W54" s="161">
        <f t="shared" si="25"/>
        <v>2.5655090371744715</v>
      </c>
      <c r="X54" s="142" t="s">
        <v>112</v>
      </c>
    </row>
    <row r="55" spans="1:24" ht="15" customHeight="1">
      <c r="A55" s="155" t="s">
        <v>90</v>
      </c>
      <c r="B55" s="209">
        <v>0.1</v>
      </c>
      <c r="C55" s="210">
        <v>0.07</v>
      </c>
      <c r="D55" s="209">
        <f t="shared" si="15"/>
        <v>0.07</v>
      </c>
      <c r="E55" s="210">
        <f t="shared" si="16"/>
        <v>0.07</v>
      </c>
      <c r="F55" s="159">
        <f t="shared" si="22"/>
        <v>598.3423658570039</v>
      </c>
      <c r="G55" s="160">
        <f t="shared" si="22"/>
        <v>658.1766024427043</v>
      </c>
      <c r="H55" s="160">
        <f t="shared" si="22"/>
        <v>723.9942626869747</v>
      </c>
      <c r="I55" s="160">
        <f t="shared" si="22"/>
        <v>796.3936889556722</v>
      </c>
      <c r="J55" s="160">
        <f t="shared" si="22"/>
        <v>876.0330578512395</v>
      </c>
      <c r="K55" s="160">
        <f t="shared" si="22"/>
        <v>963.6363636363635</v>
      </c>
      <c r="L55" s="190">
        <v>1060</v>
      </c>
      <c r="M55" s="160">
        <f t="shared" si="23"/>
        <v>1134.2</v>
      </c>
      <c r="N55" s="160">
        <f t="shared" si="23"/>
        <v>1213.594</v>
      </c>
      <c r="O55" s="160">
        <f t="shared" si="23"/>
        <v>1298.5455800000002</v>
      </c>
      <c r="P55" s="160">
        <f t="shared" si="23"/>
        <v>1389.4437706000003</v>
      </c>
      <c r="Q55" s="159">
        <f t="shared" si="24"/>
        <v>1486.7048345420005</v>
      </c>
      <c r="R55" s="161">
        <f t="shared" si="24"/>
        <v>1590.7741729599406</v>
      </c>
      <c r="S55" s="159">
        <f t="shared" si="25"/>
        <v>1702.1283650671367</v>
      </c>
      <c r="T55" s="160">
        <f t="shared" si="25"/>
        <v>1821.2773506218364</v>
      </c>
      <c r="U55" s="160">
        <f t="shared" si="25"/>
        <v>1948.766765165365</v>
      </c>
      <c r="V55" s="160">
        <f t="shared" si="25"/>
        <v>2085.180438726941</v>
      </c>
      <c r="W55" s="161">
        <f t="shared" si="25"/>
        <v>2231.143069437827</v>
      </c>
      <c r="X55" s="215" t="s">
        <v>113</v>
      </c>
    </row>
    <row r="56" spans="1:24" ht="13.75" customHeight="1">
      <c r="A56" s="155" t="s">
        <v>92</v>
      </c>
      <c r="B56" s="209">
        <v>0</v>
      </c>
      <c r="C56" s="210">
        <v>-0.01</v>
      </c>
      <c r="D56" s="209">
        <f t="shared" si="15"/>
        <v>-0.01</v>
      </c>
      <c r="E56" s="210">
        <f t="shared" si="16"/>
        <v>-0.01</v>
      </c>
      <c r="F56" s="159">
        <f t="shared" si="22"/>
        <v>70</v>
      </c>
      <c r="G56" s="160">
        <f t="shared" si="22"/>
        <v>70</v>
      </c>
      <c r="H56" s="160">
        <f t="shared" si="22"/>
        <v>70</v>
      </c>
      <c r="I56" s="160">
        <f t="shared" si="22"/>
        <v>70</v>
      </c>
      <c r="J56" s="160">
        <f t="shared" si="22"/>
        <v>70</v>
      </c>
      <c r="K56" s="160">
        <f t="shared" si="22"/>
        <v>70</v>
      </c>
      <c r="L56" s="171">
        <v>70</v>
      </c>
      <c r="M56" s="160">
        <f t="shared" si="23"/>
        <v>69.3</v>
      </c>
      <c r="N56" s="160">
        <f t="shared" si="23"/>
        <v>68.607</v>
      </c>
      <c r="O56" s="160">
        <f t="shared" si="23"/>
        <v>67.92093</v>
      </c>
      <c r="P56" s="160">
        <f t="shared" si="23"/>
        <v>67.2417207</v>
      </c>
      <c r="Q56" s="159">
        <f t="shared" si="24"/>
        <v>66.569303493</v>
      </c>
      <c r="R56" s="161">
        <f t="shared" si="24"/>
        <v>65.90361045807</v>
      </c>
      <c r="S56" s="159">
        <f t="shared" si="25"/>
        <v>65.2445743534893</v>
      </c>
      <c r="T56" s="160">
        <f t="shared" si="25"/>
        <v>64.5921286099544</v>
      </c>
      <c r="U56" s="160">
        <f t="shared" si="25"/>
        <v>63.94620732385486</v>
      </c>
      <c r="V56" s="160">
        <f t="shared" si="25"/>
        <v>63.30674525061631</v>
      </c>
      <c r="W56" s="161">
        <f t="shared" si="25"/>
        <v>62.67367779811015</v>
      </c>
      <c r="X56" s="142" t="s">
        <v>114</v>
      </c>
    </row>
    <row r="57" spans="1:24" ht="13.75" customHeight="1">
      <c r="A57" s="155" t="s">
        <v>94</v>
      </c>
      <c r="B57" s="209">
        <v>0</v>
      </c>
      <c r="C57" s="210">
        <v>-0.01</v>
      </c>
      <c r="D57" s="209">
        <f t="shared" si="15"/>
        <v>-0.01</v>
      </c>
      <c r="E57" s="210">
        <f t="shared" si="16"/>
        <v>-0.01</v>
      </c>
      <c r="F57" s="159">
        <f t="shared" si="22"/>
        <v>120</v>
      </c>
      <c r="G57" s="160">
        <f t="shared" si="22"/>
        <v>120</v>
      </c>
      <c r="H57" s="160">
        <f t="shared" si="22"/>
        <v>120</v>
      </c>
      <c r="I57" s="160">
        <f t="shared" si="22"/>
        <v>120</v>
      </c>
      <c r="J57" s="160">
        <f t="shared" si="22"/>
        <v>120</v>
      </c>
      <c r="K57" s="160">
        <f t="shared" si="22"/>
        <v>120</v>
      </c>
      <c r="L57" s="171">
        <v>120</v>
      </c>
      <c r="M57" s="160">
        <f t="shared" si="23"/>
        <v>118.8</v>
      </c>
      <c r="N57" s="160">
        <f t="shared" si="23"/>
        <v>117.612</v>
      </c>
      <c r="O57" s="160">
        <f t="shared" si="23"/>
        <v>116.43588</v>
      </c>
      <c r="P57" s="160">
        <f t="shared" si="23"/>
        <v>115.2715212</v>
      </c>
      <c r="Q57" s="159">
        <f t="shared" si="24"/>
        <v>114.11880598799999</v>
      </c>
      <c r="R57" s="161">
        <f t="shared" si="24"/>
        <v>112.97761792812</v>
      </c>
      <c r="S57" s="159">
        <f t="shared" si="25"/>
        <v>111.8478417488388</v>
      </c>
      <c r="T57" s="160">
        <f t="shared" si="25"/>
        <v>110.72936333135041</v>
      </c>
      <c r="U57" s="160">
        <f t="shared" si="25"/>
        <v>109.62206969803691</v>
      </c>
      <c r="V57" s="160">
        <f t="shared" si="25"/>
        <v>108.52584900105654</v>
      </c>
      <c r="W57" s="161">
        <f t="shared" si="25"/>
        <v>107.44059051104598</v>
      </c>
      <c r="X57" s="142" t="s">
        <v>115</v>
      </c>
    </row>
    <row r="58" spans="1:24" ht="13.75" customHeight="1">
      <c r="A58" s="155" t="s">
        <v>96</v>
      </c>
      <c r="B58" s="209">
        <v>0</v>
      </c>
      <c r="C58" s="210">
        <v>-0.01</v>
      </c>
      <c r="D58" s="209">
        <f t="shared" si="15"/>
        <v>-0.01</v>
      </c>
      <c r="E58" s="210">
        <f t="shared" si="16"/>
        <v>-0.01</v>
      </c>
      <c r="F58" s="159">
        <f t="shared" si="22"/>
        <v>120</v>
      </c>
      <c r="G58" s="160">
        <f t="shared" si="22"/>
        <v>120</v>
      </c>
      <c r="H58" s="160">
        <f t="shared" si="22"/>
        <v>120</v>
      </c>
      <c r="I58" s="160">
        <f t="shared" si="22"/>
        <v>120</v>
      </c>
      <c r="J58" s="160">
        <f t="shared" si="22"/>
        <v>120</v>
      </c>
      <c r="K58" s="160">
        <f t="shared" si="22"/>
        <v>120</v>
      </c>
      <c r="L58" s="171">
        <v>120</v>
      </c>
      <c r="M58" s="160">
        <f t="shared" si="23"/>
        <v>118.8</v>
      </c>
      <c r="N58" s="160">
        <f t="shared" si="23"/>
        <v>117.612</v>
      </c>
      <c r="O58" s="160">
        <f t="shared" si="23"/>
        <v>116.43588</v>
      </c>
      <c r="P58" s="160">
        <f t="shared" si="23"/>
        <v>115.2715212</v>
      </c>
      <c r="Q58" s="159">
        <f t="shared" si="24"/>
        <v>114.11880598799999</v>
      </c>
      <c r="R58" s="161">
        <f t="shared" si="24"/>
        <v>112.97761792812</v>
      </c>
      <c r="S58" s="159">
        <f t="shared" si="25"/>
        <v>111.8478417488388</v>
      </c>
      <c r="T58" s="160">
        <f t="shared" si="25"/>
        <v>110.72936333135041</v>
      </c>
      <c r="U58" s="160">
        <f t="shared" si="25"/>
        <v>109.62206969803691</v>
      </c>
      <c r="V58" s="160">
        <f t="shared" si="25"/>
        <v>108.52584900105654</v>
      </c>
      <c r="W58" s="161">
        <f t="shared" si="25"/>
        <v>107.44059051104598</v>
      </c>
      <c r="X58" s="142" t="s">
        <v>116</v>
      </c>
    </row>
    <row r="59" spans="1:24" ht="13.75" customHeight="1">
      <c r="A59" s="155" t="s">
        <v>5</v>
      </c>
      <c r="B59" s="209">
        <v>0.01</v>
      </c>
      <c r="C59" s="210">
        <v>0.03</v>
      </c>
      <c r="D59" s="209">
        <f t="shared" si="15"/>
        <v>0.03</v>
      </c>
      <c r="E59" s="210">
        <f t="shared" si="16"/>
        <v>0.03</v>
      </c>
      <c r="F59" s="159">
        <f t="shared" si="22"/>
        <v>47.10226176271033</v>
      </c>
      <c r="G59" s="160">
        <f t="shared" si="22"/>
        <v>47.573284380337434</v>
      </c>
      <c r="H59" s="160">
        <f t="shared" si="22"/>
        <v>48.04901722414081</v>
      </c>
      <c r="I59" s="160">
        <f t="shared" si="22"/>
        <v>48.52950739638222</v>
      </c>
      <c r="J59" s="160">
        <f t="shared" si="22"/>
        <v>49.01480247034605</v>
      </c>
      <c r="K59" s="160">
        <f t="shared" si="22"/>
        <v>49.504950495049506</v>
      </c>
      <c r="L59" s="171">
        <v>50</v>
      </c>
      <c r="M59" s="160">
        <f t="shared" si="23"/>
        <v>51.5</v>
      </c>
      <c r="N59" s="160">
        <f t="shared" si="23"/>
        <v>53.045</v>
      </c>
      <c r="O59" s="160">
        <f t="shared" si="23"/>
        <v>54.63635</v>
      </c>
      <c r="P59" s="160">
        <f t="shared" si="23"/>
        <v>56.2754405</v>
      </c>
      <c r="Q59" s="159">
        <f t="shared" si="24"/>
        <v>57.963703715</v>
      </c>
      <c r="R59" s="161">
        <f t="shared" si="24"/>
        <v>59.70261482645</v>
      </c>
      <c r="S59" s="159">
        <f t="shared" si="25"/>
        <v>61.4936932712435</v>
      </c>
      <c r="T59" s="160">
        <f t="shared" si="25"/>
        <v>63.33850406938081</v>
      </c>
      <c r="U59" s="160">
        <f t="shared" si="25"/>
        <v>65.23865919146223</v>
      </c>
      <c r="V59" s="160">
        <f t="shared" si="25"/>
        <v>67.19581896720611</v>
      </c>
      <c r="W59" s="161">
        <f t="shared" si="25"/>
        <v>69.2116935362223</v>
      </c>
      <c r="X59" s="142" t="s">
        <v>117</v>
      </c>
    </row>
    <row r="60" spans="1:24" ht="13.75" customHeight="1">
      <c r="A60" s="155" t="s">
        <v>33</v>
      </c>
      <c r="B60" s="209">
        <v>0.03</v>
      </c>
      <c r="C60" s="210">
        <v>0.03</v>
      </c>
      <c r="D60" s="209">
        <f t="shared" si="15"/>
        <v>0.03</v>
      </c>
      <c r="E60" s="210">
        <f t="shared" si="16"/>
        <v>0.03</v>
      </c>
      <c r="F60" s="159">
        <f t="shared" si="22"/>
        <v>66.99874053469233</v>
      </c>
      <c r="G60" s="160">
        <f t="shared" si="22"/>
        <v>69.00870275073311</v>
      </c>
      <c r="H60" s="160">
        <f t="shared" si="22"/>
        <v>71.0789638332551</v>
      </c>
      <c r="I60" s="160">
        <f t="shared" si="22"/>
        <v>73.21133274825276</v>
      </c>
      <c r="J60" s="160">
        <f t="shared" si="22"/>
        <v>75.40767273070034</v>
      </c>
      <c r="K60" s="160">
        <f t="shared" si="22"/>
        <v>77.66990291262135</v>
      </c>
      <c r="L60" s="171">
        <v>80</v>
      </c>
      <c r="M60" s="160">
        <f t="shared" si="23"/>
        <v>82.4</v>
      </c>
      <c r="N60" s="160">
        <f t="shared" si="23"/>
        <v>84.87200000000001</v>
      </c>
      <c r="O60" s="160">
        <f t="shared" si="23"/>
        <v>87.41816000000001</v>
      </c>
      <c r="P60" s="160">
        <f t="shared" si="23"/>
        <v>90.04070480000001</v>
      </c>
      <c r="Q60" s="159">
        <f t="shared" si="24"/>
        <v>92.74192594400002</v>
      </c>
      <c r="R60" s="161">
        <f t="shared" si="24"/>
        <v>95.52418372232002</v>
      </c>
      <c r="S60" s="159">
        <f t="shared" si="25"/>
        <v>98.38990923398963</v>
      </c>
      <c r="T60" s="160">
        <f t="shared" si="25"/>
        <v>101.34160651100932</v>
      </c>
      <c r="U60" s="160">
        <f t="shared" si="25"/>
        <v>104.3818547063396</v>
      </c>
      <c r="V60" s="160">
        <f t="shared" si="25"/>
        <v>107.51331034752978</v>
      </c>
      <c r="W60" s="161">
        <f t="shared" si="25"/>
        <v>110.73870965795568</v>
      </c>
      <c r="X60" s="142" t="s">
        <v>118</v>
      </c>
    </row>
    <row r="61" spans="1:24" ht="13.75" customHeight="1">
      <c r="A61" s="155" t="s">
        <v>101</v>
      </c>
      <c r="B61" s="209">
        <v>0.1</v>
      </c>
      <c r="C61" s="210">
        <v>0.07</v>
      </c>
      <c r="D61" s="209">
        <f t="shared" si="15"/>
        <v>0.07</v>
      </c>
      <c r="E61" s="210">
        <f t="shared" si="16"/>
        <v>0.07</v>
      </c>
      <c r="F61" s="159">
        <f t="shared" si="22"/>
        <v>733.8161090699102</v>
      </c>
      <c r="G61" s="160">
        <f t="shared" si="22"/>
        <v>807.1977199769013</v>
      </c>
      <c r="H61" s="160">
        <f t="shared" si="22"/>
        <v>887.9174919745916</v>
      </c>
      <c r="I61" s="160">
        <f t="shared" si="22"/>
        <v>976.7092411720508</v>
      </c>
      <c r="J61" s="160">
        <f t="shared" si="22"/>
        <v>1074.380165289256</v>
      </c>
      <c r="K61" s="160">
        <f t="shared" si="22"/>
        <v>1181.8181818181818</v>
      </c>
      <c r="L61" s="190">
        <v>1300</v>
      </c>
      <c r="M61" s="160">
        <f t="shared" si="23"/>
        <v>1391</v>
      </c>
      <c r="N61" s="160">
        <f t="shared" si="23"/>
        <v>1488.3700000000001</v>
      </c>
      <c r="O61" s="160">
        <f t="shared" si="23"/>
        <v>1592.5559000000003</v>
      </c>
      <c r="P61" s="160">
        <f t="shared" si="23"/>
        <v>1704.0348130000004</v>
      </c>
      <c r="Q61" s="159">
        <f t="shared" si="24"/>
        <v>1823.3172499100006</v>
      </c>
      <c r="R61" s="161">
        <f t="shared" si="24"/>
        <v>1950.9494574037008</v>
      </c>
      <c r="S61" s="159">
        <f t="shared" si="25"/>
        <v>2087.51591942196</v>
      </c>
      <c r="T61" s="160">
        <f t="shared" si="25"/>
        <v>2233.6420337814975</v>
      </c>
      <c r="U61" s="160">
        <f t="shared" si="25"/>
        <v>2389.9969761462025</v>
      </c>
      <c r="V61" s="160">
        <f t="shared" si="25"/>
        <v>2557.2967644764367</v>
      </c>
      <c r="W61" s="161">
        <f t="shared" si="25"/>
        <v>2736.3075379897873</v>
      </c>
      <c r="X61" s="142" t="s">
        <v>110</v>
      </c>
    </row>
    <row r="62" spans="1:24" ht="15" customHeight="1">
      <c r="A62" s="178" t="s">
        <v>16</v>
      </c>
      <c r="B62" s="217">
        <v>0.03</v>
      </c>
      <c r="C62" s="218">
        <v>0.02</v>
      </c>
      <c r="D62" s="217">
        <f t="shared" si="15"/>
        <v>0.02</v>
      </c>
      <c r="E62" s="218">
        <f t="shared" si="16"/>
        <v>0.02</v>
      </c>
      <c r="F62" s="219">
        <f t="shared" si="22"/>
        <v>41.87421283418271</v>
      </c>
      <c r="G62" s="220">
        <f t="shared" si="22"/>
        <v>43.13043921920819</v>
      </c>
      <c r="H62" s="220">
        <f t="shared" si="22"/>
        <v>44.42435239578444</v>
      </c>
      <c r="I62" s="220">
        <f t="shared" si="22"/>
        <v>45.75708296765797</v>
      </c>
      <c r="J62" s="220">
        <f t="shared" si="22"/>
        <v>47.12979545668771</v>
      </c>
      <c r="K62" s="220">
        <f t="shared" si="22"/>
        <v>48.543689320388346</v>
      </c>
      <c r="L62" s="221">
        <v>50</v>
      </c>
      <c r="M62" s="220">
        <f t="shared" si="23"/>
        <v>51</v>
      </c>
      <c r="N62" s="220">
        <f t="shared" si="23"/>
        <v>52.02</v>
      </c>
      <c r="O62" s="220">
        <f t="shared" si="23"/>
        <v>53.0604</v>
      </c>
      <c r="P62" s="220">
        <f t="shared" si="23"/>
        <v>54.121608</v>
      </c>
      <c r="Q62" s="219">
        <f t="shared" si="24"/>
        <v>55.204040160000005</v>
      </c>
      <c r="R62" s="222">
        <f>Q62*(1+$D62)</f>
        <v>56.308120963200004</v>
      </c>
      <c r="S62" s="219">
        <f t="shared" si="25"/>
        <v>57.434283382464</v>
      </c>
      <c r="T62" s="220">
        <f t="shared" si="25"/>
        <v>58.582969050113284</v>
      </c>
      <c r="U62" s="220">
        <f t="shared" si="25"/>
        <v>59.75462843111555</v>
      </c>
      <c r="V62" s="220">
        <f t="shared" si="25"/>
        <v>60.94972099973786</v>
      </c>
      <c r="W62" s="222">
        <f t="shared" si="25"/>
        <v>62.16871541973262</v>
      </c>
      <c r="X62" s="142" t="s">
        <v>119</v>
      </c>
    </row>
    <row r="63" spans="1:23" ht="15" customHeight="1">
      <c r="A63" s="207"/>
      <c r="B63" s="207"/>
      <c r="C63" s="207"/>
      <c r="D63" s="207"/>
      <c r="E63" s="207"/>
      <c r="F63" s="142"/>
      <c r="G63" s="142"/>
      <c r="H63" s="142"/>
      <c r="I63" s="142"/>
      <c r="J63" s="142"/>
      <c r="K63" s="142"/>
      <c r="L63" s="142"/>
      <c r="M63" s="208"/>
      <c r="N63" s="208"/>
      <c r="O63" s="208"/>
      <c r="P63" s="208"/>
      <c r="Q63" s="208"/>
      <c r="R63" s="208"/>
      <c r="S63" s="208"/>
      <c r="T63" s="208"/>
      <c r="U63" s="208"/>
      <c r="V63" s="208"/>
      <c r="W63" s="208"/>
    </row>
    <row r="64" spans="1:23" ht="15" customHeight="1">
      <c r="A64" s="223"/>
      <c r="B64" s="223"/>
      <c r="C64" s="223"/>
      <c r="D64" s="223"/>
      <c r="E64" s="223"/>
      <c r="M64" s="208"/>
      <c r="N64" s="208"/>
      <c r="O64" s="208"/>
      <c r="P64" s="208"/>
      <c r="Q64" s="208"/>
      <c r="R64" s="208"/>
      <c r="S64" s="208"/>
      <c r="T64" s="208"/>
      <c r="U64" s="208"/>
      <c r="V64" s="208"/>
      <c r="W64" s="208"/>
    </row>
    <row r="65" spans="1:23" ht="30" customHeight="1">
      <c r="A65" s="151" t="s">
        <v>120</v>
      </c>
      <c r="B65" s="153" t="s">
        <v>354</v>
      </c>
      <c r="C65" s="154" t="s">
        <v>71</v>
      </c>
      <c r="D65" s="153" t="s">
        <v>72</v>
      </c>
      <c r="E65" s="154" t="s">
        <v>73</v>
      </c>
      <c r="F65" s="153">
        <v>2013</v>
      </c>
      <c r="G65" s="152">
        <v>2014</v>
      </c>
      <c r="H65" s="152">
        <v>2015</v>
      </c>
      <c r="I65" s="152">
        <v>2016</v>
      </c>
      <c r="J65" s="152">
        <v>2017</v>
      </c>
      <c r="K65" s="152">
        <v>2018</v>
      </c>
      <c r="L65" s="152">
        <v>2019</v>
      </c>
      <c r="M65" s="152">
        <v>2020</v>
      </c>
      <c r="N65" s="152">
        <v>2021</v>
      </c>
      <c r="O65" s="152">
        <v>2022</v>
      </c>
      <c r="P65" s="154">
        <v>2023</v>
      </c>
      <c r="Q65" s="153">
        <v>2024</v>
      </c>
      <c r="R65" s="154">
        <v>2025</v>
      </c>
      <c r="S65" s="153">
        <v>2026</v>
      </c>
      <c r="T65" s="152">
        <v>2027</v>
      </c>
      <c r="U65" s="152">
        <v>2028</v>
      </c>
      <c r="V65" s="152">
        <v>2029</v>
      </c>
      <c r="W65" s="154">
        <v>2030</v>
      </c>
    </row>
    <row r="66" spans="1:24" ht="15" customHeight="1">
      <c r="A66" s="155" t="s">
        <v>74</v>
      </c>
      <c r="B66" s="209">
        <v>0</v>
      </c>
      <c r="C66" s="210">
        <v>0</v>
      </c>
      <c r="D66" s="209">
        <f t="shared" si="15"/>
        <v>0</v>
      </c>
      <c r="E66" s="210">
        <f t="shared" si="16"/>
        <v>0</v>
      </c>
      <c r="F66" s="159">
        <f t="shared" si="22"/>
        <v>1551.7241379310346</v>
      </c>
      <c r="G66" s="160">
        <f t="shared" si="22"/>
        <v>1551.7241379310346</v>
      </c>
      <c r="H66" s="160">
        <f t="shared" si="22"/>
        <v>1551.7241379310346</v>
      </c>
      <c r="I66" s="160">
        <f t="shared" si="22"/>
        <v>1551.7241379310346</v>
      </c>
      <c r="J66" s="160">
        <f t="shared" si="22"/>
        <v>1551.7241379310346</v>
      </c>
      <c r="K66" s="160">
        <f>L66/(1+$B66)</f>
        <v>1551.7241379310346</v>
      </c>
      <c r="L66" s="171">
        <f aca="true" t="shared" si="27" ref="L66:L82">$L46/0.29</f>
        <v>1551.7241379310346</v>
      </c>
      <c r="M66" s="160">
        <f t="shared" si="23"/>
        <v>1551.7241379310346</v>
      </c>
      <c r="N66" s="160">
        <f t="shared" si="23"/>
        <v>1551.7241379310346</v>
      </c>
      <c r="O66" s="160">
        <f t="shared" si="23"/>
        <v>1551.7241379310346</v>
      </c>
      <c r="P66" s="161">
        <f t="shared" si="23"/>
        <v>1551.7241379310346</v>
      </c>
      <c r="Q66" s="159">
        <f t="shared" si="24"/>
        <v>1551.7241379310346</v>
      </c>
      <c r="R66" s="161">
        <f>Q66*(1+$D66)</f>
        <v>1551.7241379310346</v>
      </c>
      <c r="S66" s="159">
        <f t="shared" si="25"/>
        <v>1551.7241379310346</v>
      </c>
      <c r="T66" s="160">
        <f aca="true" t="shared" si="28" ref="T66:W66">S66*(1+$E66)</f>
        <v>1551.7241379310346</v>
      </c>
      <c r="U66" s="160">
        <f t="shared" si="28"/>
        <v>1551.7241379310346</v>
      </c>
      <c r="V66" s="160">
        <f t="shared" si="28"/>
        <v>1551.7241379310346</v>
      </c>
      <c r="W66" s="161">
        <f t="shared" si="28"/>
        <v>1551.7241379310346</v>
      </c>
      <c r="X66" s="142" t="s">
        <v>121</v>
      </c>
    </row>
    <row r="67" spans="1:24" ht="15" customHeight="1">
      <c r="A67" s="155" t="s">
        <v>76</v>
      </c>
      <c r="B67" s="209">
        <v>0.04</v>
      </c>
      <c r="C67" s="210">
        <v>0.05</v>
      </c>
      <c r="D67" s="209">
        <f t="shared" si="15"/>
        <v>0.05</v>
      </c>
      <c r="E67" s="210">
        <f t="shared" si="16"/>
        <v>0.05</v>
      </c>
      <c r="F67" s="159">
        <f t="shared" si="22"/>
        <v>1144.5934510574523</v>
      </c>
      <c r="G67" s="160">
        <f t="shared" si="22"/>
        <v>1190.3771890997505</v>
      </c>
      <c r="H67" s="160">
        <f t="shared" si="22"/>
        <v>1237.9922766637405</v>
      </c>
      <c r="I67" s="160">
        <f t="shared" si="22"/>
        <v>1287.5119677302903</v>
      </c>
      <c r="J67" s="160">
        <f t="shared" si="22"/>
        <v>1339.012446439502</v>
      </c>
      <c r="K67" s="160">
        <f t="shared" si="22"/>
        <v>1392.5729442970821</v>
      </c>
      <c r="L67" s="171">
        <f t="shared" si="27"/>
        <v>1448.2758620689656</v>
      </c>
      <c r="M67" s="160">
        <f t="shared" si="23"/>
        <v>1520.689655172414</v>
      </c>
      <c r="N67" s="160">
        <f t="shared" si="23"/>
        <v>1596.7241379310346</v>
      </c>
      <c r="O67" s="160">
        <f t="shared" si="23"/>
        <v>1676.5603448275865</v>
      </c>
      <c r="P67" s="161">
        <f t="shared" si="23"/>
        <v>1760.388362068966</v>
      </c>
      <c r="Q67" s="159">
        <f t="shared" si="24"/>
        <v>1848.4077801724143</v>
      </c>
      <c r="R67" s="161">
        <f t="shared" si="24"/>
        <v>1940.828169181035</v>
      </c>
      <c r="S67" s="159">
        <f t="shared" si="25"/>
        <v>2037.8695776400868</v>
      </c>
      <c r="T67" s="160">
        <f t="shared" si="25"/>
        <v>2139.763056522091</v>
      </c>
      <c r="U67" s="160">
        <f t="shared" si="25"/>
        <v>2246.751209348196</v>
      </c>
      <c r="V67" s="160">
        <f t="shared" si="25"/>
        <v>2359.0887698156057</v>
      </c>
      <c r="W67" s="161">
        <f t="shared" si="25"/>
        <v>2477.043208306386</v>
      </c>
      <c r="X67" s="142" t="s">
        <v>122</v>
      </c>
    </row>
    <row r="68" spans="1:27" ht="15" customHeight="1">
      <c r="A68" s="155" t="s">
        <v>78</v>
      </c>
      <c r="B68" s="209">
        <v>0</v>
      </c>
      <c r="C68" s="210">
        <v>0</v>
      </c>
      <c r="D68" s="209">
        <f t="shared" si="15"/>
        <v>0</v>
      </c>
      <c r="E68" s="210">
        <f t="shared" si="16"/>
        <v>0</v>
      </c>
      <c r="F68" s="159">
        <f t="shared" si="22"/>
        <v>1150</v>
      </c>
      <c r="G68" s="160">
        <f t="shared" si="22"/>
        <v>1150</v>
      </c>
      <c r="H68" s="160">
        <f t="shared" si="22"/>
        <v>1150</v>
      </c>
      <c r="I68" s="160">
        <f t="shared" si="22"/>
        <v>1150</v>
      </c>
      <c r="J68" s="160">
        <f t="shared" si="22"/>
        <v>1150</v>
      </c>
      <c r="K68" s="160">
        <f t="shared" si="22"/>
        <v>1150</v>
      </c>
      <c r="L68" s="171">
        <v>1150</v>
      </c>
      <c r="M68" s="160">
        <f t="shared" si="23"/>
        <v>1150</v>
      </c>
      <c r="N68" s="160">
        <f t="shared" si="23"/>
        <v>1150</v>
      </c>
      <c r="O68" s="160">
        <f t="shared" si="23"/>
        <v>1150</v>
      </c>
      <c r="P68" s="161">
        <f t="shared" si="23"/>
        <v>1150</v>
      </c>
      <c r="Q68" s="159">
        <f t="shared" si="24"/>
        <v>1150</v>
      </c>
      <c r="R68" s="161">
        <f t="shared" si="24"/>
        <v>1150</v>
      </c>
      <c r="S68" s="159">
        <f t="shared" si="25"/>
        <v>1150</v>
      </c>
      <c r="T68" s="160">
        <f t="shared" si="25"/>
        <v>1150</v>
      </c>
      <c r="U68" s="160">
        <f t="shared" si="25"/>
        <v>1150</v>
      </c>
      <c r="V68" s="160">
        <f t="shared" si="25"/>
        <v>1150</v>
      </c>
      <c r="W68" s="161">
        <f t="shared" si="25"/>
        <v>1150</v>
      </c>
      <c r="X68" s="142" t="s">
        <v>107</v>
      </c>
      <c r="Y68" s="142"/>
      <c r="Z68" s="142"/>
      <c r="AA68" s="142"/>
    </row>
    <row r="69" spans="1:24" ht="15" customHeight="1">
      <c r="A69" s="155" t="s">
        <v>79</v>
      </c>
      <c r="B69" s="209">
        <v>0.02</v>
      </c>
      <c r="C69" s="210">
        <v>0.02</v>
      </c>
      <c r="D69" s="209">
        <f t="shared" si="15"/>
        <v>0.02</v>
      </c>
      <c r="E69" s="210">
        <f t="shared" si="16"/>
        <v>0.02</v>
      </c>
      <c r="F69" s="159">
        <f t="shared" si="22"/>
        <v>765.4925708501655</v>
      </c>
      <c r="G69" s="160">
        <f t="shared" si="22"/>
        <v>780.8024222671688</v>
      </c>
      <c r="H69" s="160">
        <f t="shared" si="22"/>
        <v>796.4184707125122</v>
      </c>
      <c r="I69" s="160">
        <f t="shared" si="22"/>
        <v>812.3468401267625</v>
      </c>
      <c r="J69" s="160">
        <f t="shared" si="22"/>
        <v>828.5937769292977</v>
      </c>
      <c r="K69" s="160">
        <f t="shared" si="22"/>
        <v>845.1656524678837</v>
      </c>
      <c r="L69" s="171">
        <f t="shared" si="27"/>
        <v>862.0689655172414</v>
      </c>
      <c r="M69" s="160">
        <f t="shared" si="23"/>
        <v>879.3103448275863</v>
      </c>
      <c r="N69" s="160">
        <f t="shared" si="23"/>
        <v>896.896551724138</v>
      </c>
      <c r="O69" s="160">
        <f t="shared" si="23"/>
        <v>914.8344827586208</v>
      </c>
      <c r="P69" s="161">
        <f t="shared" si="23"/>
        <v>933.1311724137933</v>
      </c>
      <c r="Q69" s="159">
        <f t="shared" si="24"/>
        <v>951.7937958620691</v>
      </c>
      <c r="R69" s="161">
        <f t="shared" si="24"/>
        <v>970.8296717793105</v>
      </c>
      <c r="S69" s="159">
        <f t="shared" si="25"/>
        <v>990.2462652148968</v>
      </c>
      <c r="T69" s="160">
        <f t="shared" si="25"/>
        <v>1010.0511905191947</v>
      </c>
      <c r="U69" s="160">
        <f t="shared" si="25"/>
        <v>1030.2522143295787</v>
      </c>
      <c r="V69" s="160">
        <f t="shared" si="25"/>
        <v>1050.8572586161704</v>
      </c>
      <c r="W69" s="161">
        <f t="shared" si="25"/>
        <v>1071.8744037884937</v>
      </c>
      <c r="X69" s="142" t="s">
        <v>116</v>
      </c>
    </row>
    <row r="70" spans="1:24" ht="15" customHeight="1">
      <c r="A70" s="155" t="s">
        <v>81</v>
      </c>
      <c r="B70" s="209">
        <v>0</v>
      </c>
      <c r="C70" s="210">
        <v>-0.01</v>
      </c>
      <c r="D70" s="209">
        <f t="shared" si="15"/>
        <v>-0.01</v>
      </c>
      <c r="E70" s="210">
        <f t="shared" si="16"/>
        <v>-0.01</v>
      </c>
      <c r="F70" s="159">
        <f t="shared" si="22"/>
        <v>344.82758620689657</v>
      </c>
      <c r="G70" s="160">
        <f t="shared" si="22"/>
        <v>344.82758620689657</v>
      </c>
      <c r="H70" s="160">
        <f t="shared" si="22"/>
        <v>344.82758620689657</v>
      </c>
      <c r="I70" s="160">
        <f t="shared" si="22"/>
        <v>344.82758620689657</v>
      </c>
      <c r="J70" s="160">
        <f t="shared" si="22"/>
        <v>344.82758620689657</v>
      </c>
      <c r="K70" s="168">
        <f t="shared" si="22"/>
        <v>344.82758620689657</v>
      </c>
      <c r="L70" s="171">
        <f t="shared" si="27"/>
        <v>344.82758620689657</v>
      </c>
      <c r="M70" s="160">
        <f t="shared" si="23"/>
        <v>341.3793103448276</v>
      </c>
      <c r="N70" s="160">
        <f t="shared" si="23"/>
        <v>337.96551724137936</v>
      </c>
      <c r="O70" s="160">
        <f t="shared" si="23"/>
        <v>334.5858620689656</v>
      </c>
      <c r="P70" s="161">
        <f t="shared" si="23"/>
        <v>331.2400034482759</v>
      </c>
      <c r="Q70" s="159">
        <f t="shared" si="24"/>
        <v>327.9276034137931</v>
      </c>
      <c r="R70" s="161">
        <f t="shared" si="24"/>
        <v>324.6483273796552</v>
      </c>
      <c r="S70" s="159">
        <f t="shared" si="25"/>
        <v>321.40184410585863</v>
      </c>
      <c r="T70" s="160">
        <f t="shared" si="25"/>
        <v>318.1878256648</v>
      </c>
      <c r="U70" s="160">
        <f t="shared" si="25"/>
        <v>315.005947408152</v>
      </c>
      <c r="V70" s="160">
        <f t="shared" si="25"/>
        <v>311.8558879340705</v>
      </c>
      <c r="W70" s="161">
        <f t="shared" si="25"/>
        <v>308.7373290547298</v>
      </c>
      <c r="X70" s="142" t="s">
        <v>116</v>
      </c>
    </row>
    <row r="71" spans="1:24" ht="15" customHeight="1">
      <c r="A71" s="155" t="s">
        <v>30</v>
      </c>
      <c r="B71" s="209">
        <v>0.11</v>
      </c>
      <c r="C71" s="210">
        <v>0.06</v>
      </c>
      <c r="D71" s="209">
        <f t="shared" si="15"/>
        <v>0.06</v>
      </c>
      <c r="E71" s="210">
        <f t="shared" si="16"/>
        <v>0.06</v>
      </c>
      <c r="F71" s="159">
        <f t="shared" si="22"/>
        <v>156.70507264671477</v>
      </c>
      <c r="G71" s="160">
        <f t="shared" si="22"/>
        <v>173.9426306378534</v>
      </c>
      <c r="H71" s="160">
        <f t="shared" si="22"/>
        <v>193.0763200080173</v>
      </c>
      <c r="I71" s="160">
        <f t="shared" si="22"/>
        <v>214.3147152088992</v>
      </c>
      <c r="J71" s="160">
        <f t="shared" si="22"/>
        <v>237.88933388187814</v>
      </c>
      <c r="K71" s="160">
        <f t="shared" si="22"/>
        <v>264.0571606088848</v>
      </c>
      <c r="L71" s="171">
        <f t="shared" si="27"/>
        <v>293.1034482758621</v>
      </c>
      <c r="M71" s="160">
        <f t="shared" si="23"/>
        <v>310.68965517241384</v>
      </c>
      <c r="N71" s="160">
        <f t="shared" si="23"/>
        <v>329.3310344827587</v>
      </c>
      <c r="O71" s="160">
        <f t="shared" si="23"/>
        <v>349.09089655172426</v>
      </c>
      <c r="P71" s="161">
        <f t="shared" si="23"/>
        <v>370.0363503448277</v>
      </c>
      <c r="Q71" s="159">
        <f t="shared" si="24"/>
        <v>392.2385313655174</v>
      </c>
      <c r="R71" s="161">
        <f t="shared" si="24"/>
        <v>415.77284324744846</v>
      </c>
      <c r="S71" s="159">
        <f t="shared" si="25"/>
        <v>440.7192138422954</v>
      </c>
      <c r="T71" s="160">
        <f t="shared" si="25"/>
        <v>467.1623666728332</v>
      </c>
      <c r="U71" s="160">
        <f t="shared" si="25"/>
        <v>495.19210867320317</v>
      </c>
      <c r="V71" s="160">
        <f t="shared" si="25"/>
        <v>524.9036351935954</v>
      </c>
      <c r="W71" s="161">
        <f t="shared" si="25"/>
        <v>556.3978533052111</v>
      </c>
      <c r="X71" s="142" t="s">
        <v>123</v>
      </c>
    </row>
    <row r="72" spans="1:24" ht="15" customHeight="1">
      <c r="A72" s="155" t="s">
        <v>84</v>
      </c>
      <c r="B72" s="209">
        <v>0.1</v>
      </c>
      <c r="C72" s="210">
        <v>0.05</v>
      </c>
      <c r="D72" s="209">
        <f t="shared" si="15"/>
        <v>0.05</v>
      </c>
      <c r="E72" s="210">
        <f t="shared" si="16"/>
        <v>0.05</v>
      </c>
      <c r="F72" s="159">
        <f t="shared" si="22"/>
        <v>389.2923655543291</v>
      </c>
      <c r="G72" s="160">
        <f t="shared" si="22"/>
        <v>428.22160210976205</v>
      </c>
      <c r="H72" s="160">
        <f t="shared" si="22"/>
        <v>471.04376232073827</v>
      </c>
      <c r="I72" s="160">
        <f t="shared" si="22"/>
        <v>518.1481385528122</v>
      </c>
      <c r="J72" s="160">
        <f t="shared" si="22"/>
        <v>569.9629524080934</v>
      </c>
      <c r="K72" s="160">
        <f t="shared" si="22"/>
        <v>626.9592476489028</v>
      </c>
      <c r="L72" s="171">
        <f t="shared" si="27"/>
        <v>689.6551724137931</v>
      </c>
      <c r="M72" s="160">
        <f t="shared" si="23"/>
        <v>724.1379310344828</v>
      </c>
      <c r="N72" s="160">
        <f t="shared" si="23"/>
        <v>760.344827586207</v>
      </c>
      <c r="O72" s="160">
        <f t="shared" si="23"/>
        <v>798.3620689655173</v>
      </c>
      <c r="P72" s="161">
        <f t="shared" si="23"/>
        <v>838.2801724137933</v>
      </c>
      <c r="Q72" s="159">
        <f t="shared" si="24"/>
        <v>880.194181034483</v>
      </c>
      <c r="R72" s="161">
        <f t="shared" si="24"/>
        <v>924.2038900862071</v>
      </c>
      <c r="S72" s="159">
        <f t="shared" si="25"/>
        <v>970.4140845905175</v>
      </c>
      <c r="T72" s="160">
        <f t="shared" si="25"/>
        <v>1018.9347888200434</v>
      </c>
      <c r="U72" s="160">
        <f t="shared" si="25"/>
        <v>1069.8815282610456</v>
      </c>
      <c r="V72" s="160">
        <f t="shared" si="25"/>
        <v>1123.375604674098</v>
      </c>
      <c r="W72" s="161">
        <f t="shared" si="25"/>
        <v>1179.5443849078029</v>
      </c>
      <c r="X72" s="142" t="s">
        <v>116</v>
      </c>
    </row>
    <row r="73" spans="1:24" ht="15" customHeight="1">
      <c r="A73" s="155" t="s">
        <v>86</v>
      </c>
      <c r="B73" s="209">
        <v>0</v>
      </c>
      <c r="C73" s="210">
        <v>0</v>
      </c>
      <c r="D73" s="209">
        <f t="shared" si="15"/>
        <v>0</v>
      </c>
      <c r="E73" s="210">
        <f t="shared" si="16"/>
        <v>0</v>
      </c>
      <c r="F73" s="159">
        <f t="shared" si="22"/>
        <v>68.96551724137932</v>
      </c>
      <c r="G73" s="160">
        <f t="shared" si="22"/>
        <v>68.96551724137932</v>
      </c>
      <c r="H73" s="160">
        <f t="shared" si="22"/>
        <v>68.96551724137932</v>
      </c>
      <c r="I73" s="160">
        <f t="shared" si="22"/>
        <v>68.96551724137932</v>
      </c>
      <c r="J73" s="160">
        <f t="shared" si="22"/>
        <v>68.96551724137932</v>
      </c>
      <c r="K73" s="160">
        <f t="shared" si="22"/>
        <v>68.96551724137932</v>
      </c>
      <c r="L73" s="171">
        <f t="shared" si="27"/>
        <v>68.96551724137932</v>
      </c>
      <c r="M73" s="160">
        <f t="shared" si="23"/>
        <v>68.96551724137932</v>
      </c>
      <c r="N73" s="160">
        <f t="shared" si="23"/>
        <v>68.96551724137932</v>
      </c>
      <c r="O73" s="160">
        <f t="shared" si="23"/>
        <v>68.96551724137932</v>
      </c>
      <c r="P73" s="161">
        <f t="shared" si="23"/>
        <v>68.96551724137932</v>
      </c>
      <c r="Q73" s="159">
        <f t="shared" si="24"/>
        <v>68.96551724137932</v>
      </c>
      <c r="R73" s="161">
        <f t="shared" si="24"/>
        <v>68.96551724137932</v>
      </c>
      <c r="S73" s="159">
        <f t="shared" si="25"/>
        <v>68.96551724137932</v>
      </c>
      <c r="T73" s="160">
        <f t="shared" si="25"/>
        <v>68.96551724137932</v>
      </c>
      <c r="U73" s="160">
        <f t="shared" si="25"/>
        <v>68.96551724137932</v>
      </c>
      <c r="V73" s="160">
        <f t="shared" si="25"/>
        <v>68.96551724137932</v>
      </c>
      <c r="W73" s="161">
        <f t="shared" si="25"/>
        <v>68.96551724137932</v>
      </c>
      <c r="X73" s="142" t="s">
        <v>97</v>
      </c>
    </row>
    <row r="74" spans="1:24" ht="15" customHeight="1">
      <c r="A74" s="212" t="s">
        <v>88</v>
      </c>
      <c r="B74" s="213">
        <v>0.05</v>
      </c>
      <c r="C74" s="214">
        <v>0.05</v>
      </c>
      <c r="D74" s="209">
        <f t="shared" si="15"/>
        <v>0.05</v>
      </c>
      <c r="E74" s="210">
        <f t="shared" si="16"/>
        <v>0.05</v>
      </c>
      <c r="F74" s="159">
        <f t="shared" si="22"/>
        <v>3.859734810189453</v>
      </c>
      <c r="G74" s="160">
        <f t="shared" si="22"/>
        <v>4.052721550698926</v>
      </c>
      <c r="H74" s="160">
        <f t="shared" si="22"/>
        <v>4.255357628233872</v>
      </c>
      <c r="I74" s="160">
        <f t="shared" si="22"/>
        <v>4.468125509645565</v>
      </c>
      <c r="J74" s="160">
        <f t="shared" si="22"/>
        <v>4.691531785127844</v>
      </c>
      <c r="K74" s="160">
        <f t="shared" si="22"/>
        <v>4.926108374384237</v>
      </c>
      <c r="L74" s="171">
        <f t="shared" si="27"/>
        <v>5.172413793103448</v>
      </c>
      <c r="M74" s="160">
        <f t="shared" si="23"/>
        <v>5.431034482758621</v>
      </c>
      <c r="N74" s="160">
        <f t="shared" si="23"/>
        <v>5.7025862068965525</v>
      </c>
      <c r="O74" s="160">
        <f t="shared" si="23"/>
        <v>5.98771551724138</v>
      </c>
      <c r="P74" s="161">
        <f t="shared" si="23"/>
        <v>6.287101293103449</v>
      </c>
      <c r="Q74" s="159">
        <f t="shared" si="24"/>
        <v>6.601456357758622</v>
      </c>
      <c r="R74" s="161">
        <f t="shared" si="24"/>
        <v>6.931529175646553</v>
      </c>
      <c r="S74" s="159">
        <f t="shared" si="25"/>
        <v>7.278105634428881</v>
      </c>
      <c r="T74" s="160">
        <f t="shared" si="25"/>
        <v>7.642010916150325</v>
      </c>
      <c r="U74" s="160">
        <f t="shared" si="25"/>
        <v>8.024111461957842</v>
      </c>
      <c r="V74" s="160">
        <f t="shared" si="25"/>
        <v>8.425317035055734</v>
      </c>
      <c r="W74" s="161">
        <f t="shared" si="25"/>
        <v>8.846582886808521</v>
      </c>
      <c r="X74" s="142" t="s">
        <v>97</v>
      </c>
    </row>
    <row r="75" spans="1:27" ht="15" customHeight="1">
      <c r="A75" s="155" t="s">
        <v>90</v>
      </c>
      <c r="B75" s="209">
        <v>0.1</v>
      </c>
      <c r="C75" s="210">
        <v>0.08</v>
      </c>
      <c r="D75" s="209">
        <f t="shared" si="15"/>
        <v>0.08</v>
      </c>
      <c r="E75" s="210">
        <f t="shared" si="16"/>
        <v>0.08</v>
      </c>
      <c r="F75" s="159">
        <f t="shared" si="22"/>
        <v>1919.2113621828419</v>
      </c>
      <c r="G75" s="160">
        <f t="shared" si="22"/>
        <v>2111.132498401126</v>
      </c>
      <c r="H75" s="160">
        <f t="shared" si="22"/>
        <v>2322.245748241239</v>
      </c>
      <c r="I75" s="160">
        <f t="shared" si="22"/>
        <v>2554.4703230653636</v>
      </c>
      <c r="J75" s="160">
        <f t="shared" si="22"/>
        <v>2809.9173553719</v>
      </c>
      <c r="K75" s="160">
        <f t="shared" si="22"/>
        <v>3090.9090909090905</v>
      </c>
      <c r="L75" s="190">
        <v>3400</v>
      </c>
      <c r="M75" s="160">
        <f t="shared" si="23"/>
        <v>3672.0000000000005</v>
      </c>
      <c r="N75" s="160">
        <f t="shared" si="23"/>
        <v>3965.7600000000007</v>
      </c>
      <c r="O75" s="160">
        <f t="shared" si="23"/>
        <v>4283.020800000001</v>
      </c>
      <c r="P75" s="161">
        <f t="shared" si="23"/>
        <v>4625.662464000002</v>
      </c>
      <c r="Q75" s="159">
        <f t="shared" si="24"/>
        <v>4995.715461120002</v>
      </c>
      <c r="R75" s="161">
        <f t="shared" si="24"/>
        <v>5395.372698009603</v>
      </c>
      <c r="S75" s="159">
        <f t="shared" si="25"/>
        <v>5827.0025138503715</v>
      </c>
      <c r="T75" s="160">
        <f t="shared" si="25"/>
        <v>6293.162714958402</v>
      </c>
      <c r="U75" s="160">
        <f t="shared" si="25"/>
        <v>6796.6157321550745</v>
      </c>
      <c r="V75" s="160">
        <f t="shared" si="25"/>
        <v>7340.344990727481</v>
      </c>
      <c r="W75" s="161">
        <f t="shared" si="25"/>
        <v>7927.57258998568</v>
      </c>
      <c r="X75" s="142" t="s">
        <v>107</v>
      </c>
      <c r="Y75" s="142"/>
      <c r="Z75" s="142"/>
      <c r="AA75" s="142"/>
    </row>
    <row r="76" spans="1:24" ht="15" customHeight="1">
      <c r="A76" s="155" t="s">
        <v>92</v>
      </c>
      <c r="B76" s="209">
        <v>0</v>
      </c>
      <c r="C76" s="210">
        <v>0</v>
      </c>
      <c r="D76" s="209">
        <f t="shared" si="15"/>
        <v>0</v>
      </c>
      <c r="E76" s="210">
        <f t="shared" si="16"/>
        <v>0</v>
      </c>
      <c r="F76" s="159">
        <f t="shared" si="22"/>
        <v>241.37931034482762</v>
      </c>
      <c r="G76" s="160">
        <f t="shared" si="22"/>
        <v>241.37931034482762</v>
      </c>
      <c r="H76" s="160">
        <f t="shared" si="22"/>
        <v>241.37931034482762</v>
      </c>
      <c r="I76" s="160">
        <f t="shared" si="22"/>
        <v>241.37931034482762</v>
      </c>
      <c r="J76" s="160">
        <f t="shared" si="22"/>
        <v>241.37931034482762</v>
      </c>
      <c r="K76" s="160">
        <f t="shared" si="22"/>
        <v>241.37931034482762</v>
      </c>
      <c r="L76" s="171">
        <f t="shared" si="27"/>
        <v>241.37931034482762</v>
      </c>
      <c r="M76" s="160">
        <f t="shared" si="23"/>
        <v>241.37931034482762</v>
      </c>
      <c r="N76" s="160">
        <f t="shared" si="23"/>
        <v>241.37931034482762</v>
      </c>
      <c r="O76" s="160">
        <f t="shared" si="23"/>
        <v>241.37931034482762</v>
      </c>
      <c r="P76" s="161">
        <f t="shared" si="23"/>
        <v>241.37931034482762</v>
      </c>
      <c r="Q76" s="159">
        <f t="shared" si="24"/>
        <v>241.37931034482762</v>
      </c>
      <c r="R76" s="161">
        <f t="shared" si="24"/>
        <v>241.37931034482762</v>
      </c>
      <c r="S76" s="159">
        <f t="shared" si="25"/>
        <v>241.37931034482762</v>
      </c>
      <c r="T76" s="160">
        <f t="shared" si="25"/>
        <v>241.37931034482762</v>
      </c>
      <c r="U76" s="160">
        <f t="shared" si="25"/>
        <v>241.37931034482762</v>
      </c>
      <c r="V76" s="160">
        <f t="shared" si="25"/>
        <v>241.37931034482762</v>
      </c>
      <c r="W76" s="161">
        <f t="shared" si="25"/>
        <v>241.37931034482762</v>
      </c>
      <c r="X76" s="142" t="s">
        <v>111</v>
      </c>
    </row>
    <row r="77" spans="1:24" ht="15" customHeight="1">
      <c r="A77" s="155" t="s">
        <v>94</v>
      </c>
      <c r="B77" s="209">
        <v>0</v>
      </c>
      <c r="C77" s="210">
        <v>0</v>
      </c>
      <c r="D77" s="209">
        <f t="shared" si="15"/>
        <v>0</v>
      </c>
      <c r="E77" s="210">
        <f t="shared" si="16"/>
        <v>0</v>
      </c>
      <c r="F77" s="159">
        <f t="shared" si="22"/>
        <v>413.7931034482759</v>
      </c>
      <c r="G77" s="160">
        <f t="shared" si="22"/>
        <v>413.7931034482759</v>
      </c>
      <c r="H77" s="160">
        <f t="shared" si="22"/>
        <v>413.7931034482759</v>
      </c>
      <c r="I77" s="160">
        <f t="shared" si="22"/>
        <v>413.7931034482759</v>
      </c>
      <c r="J77" s="160">
        <f t="shared" si="22"/>
        <v>413.7931034482759</v>
      </c>
      <c r="K77" s="160">
        <f t="shared" si="22"/>
        <v>413.7931034482759</v>
      </c>
      <c r="L77" s="171">
        <f t="shared" si="27"/>
        <v>413.7931034482759</v>
      </c>
      <c r="M77" s="160">
        <f t="shared" si="23"/>
        <v>413.7931034482759</v>
      </c>
      <c r="N77" s="160">
        <f t="shared" si="23"/>
        <v>413.7931034482759</v>
      </c>
      <c r="O77" s="160">
        <f t="shared" si="23"/>
        <v>413.7931034482759</v>
      </c>
      <c r="P77" s="161">
        <f t="shared" si="23"/>
        <v>413.7931034482759</v>
      </c>
      <c r="Q77" s="159">
        <f t="shared" si="24"/>
        <v>413.7931034482759</v>
      </c>
      <c r="R77" s="161">
        <f t="shared" si="24"/>
        <v>413.7931034482759</v>
      </c>
      <c r="S77" s="159">
        <f t="shared" si="25"/>
        <v>413.7931034482759</v>
      </c>
      <c r="T77" s="160">
        <f t="shared" si="25"/>
        <v>413.7931034482759</v>
      </c>
      <c r="U77" s="160">
        <f t="shared" si="25"/>
        <v>413.7931034482759</v>
      </c>
      <c r="V77" s="160">
        <f>U77*(1+$E77)</f>
        <v>413.7931034482759</v>
      </c>
      <c r="W77" s="161">
        <f t="shared" si="25"/>
        <v>413.7931034482759</v>
      </c>
      <c r="X77" s="142" t="s">
        <v>111</v>
      </c>
    </row>
    <row r="78" spans="1:24" ht="15" customHeight="1">
      <c r="A78" s="155" t="s">
        <v>96</v>
      </c>
      <c r="B78" s="209">
        <v>0</v>
      </c>
      <c r="C78" s="210">
        <v>0</v>
      </c>
      <c r="D78" s="209">
        <f t="shared" si="15"/>
        <v>0</v>
      </c>
      <c r="E78" s="210">
        <f t="shared" si="16"/>
        <v>0</v>
      </c>
      <c r="F78" s="159">
        <f t="shared" si="22"/>
        <v>413.7931034482759</v>
      </c>
      <c r="G78" s="160">
        <f t="shared" si="22"/>
        <v>413.7931034482759</v>
      </c>
      <c r="H78" s="160">
        <f t="shared" si="22"/>
        <v>413.7931034482759</v>
      </c>
      <c r="I78" s="160">
        <f t="shared" si="22"/>
        <v>413.7931034482759</v>
      </c>
      <c r="J78" s="160">
        <f t="shared" si="22"/>
        <v>413.7931034482759</v>
      </c>
      <c r="K78" s="160">
        <f t="shared" si="22"/>
        <v>413.7931034482759</v>
      </c>
      <c r="L78" s="171">
        <f t="shared" si="27"/>
        <v>413.7931034482759</v>
      </c>
      <c r="M78" s="160">
        <f t="shared" si="23"/>
        <v>413.7931034482759</v>
      </c>
      <c r="N78" s="160">
        <f t="shared" si="23"/>
        <v>413.7931034482759</v>
      </c>
      <c r="O78" s="160">
        <f t="shared" si="23"/>
        <v>413.7931034482759</v>
      </c>
      <c r="P78" s="161">
        <f t="shared" si="23"/>
        <v>413.7931034482759</v>
      </c>
      <c r="Q78" s="159">
        <f t="shared" si="24"/>
        <v>413.7931034482759</v>
      </c>
      <c r="R78" s="161">
        <f t="shared" si="24"/>
        <v>413.7931034482759</v>
      </c>
      <c r="S78" s="159">
        <f t="shared" si="25"/>
        <v>413.7931034482759</v>
      </c>
      <c r="T78" s="160">
        <f t="shared" si="25"/>
        <v>413.7931034482759</v>
      </c>
      <c r="U78" s="160">
        <f t="shared" si="25"/>
        <v>413.7931034482759</v>
      </c>
      <c r="V78" s="160">
        <f t="shared" si="25"/>
        <v>413.7931034482759</v>
      </c>
      <c r="W78" s="161">
        <f t="shared" si="25"/>
        <v>413.7931034482759</v>
      </c>
      <c r="X78" s="142" t="s">
        <v>97</v>
      </c>
    </row>
    <row r="79" spans="1:24" ht="15" customHeight="1">
      <c r="A79" s="155" t="s">
        <v>5</v>
      </c>
      <c r="B79" s="209">
        <v>0.01</v>
      </c>
      <c r="C79" s="210">
        <v>0.04</v>
      </c>
      <c r="D79" s="209">
        <f t="shared" si="15"/>
        <v>0.04</v>
      </c>
      <c r="E79" s="210">
        <f t="shared" si="16"/>
        <v>0.04</v>
      </c>
      <c r="F79" s="159">
        <f t="shared" si="22"/>
        <v>162.42159228520805</v>
      </c>
      <c r="G79" s="160">
        <f t="shared" si="22"/>
        <v>164.04580820806012</v>
      </c>
      <c r="H79" s="160">
        <f t="shared" si="22"/>
        <v>165.68626629014074</v>
      </c>
      <c r="I79" s="160">
        <f t="shared" si="22"/>
        <v>167.34312895304214</v>
      </c>
      <c r="J79" s="160">
        <f t="shared" si="22"/>
        <v>169.01656024257255</v>
      </c>
      <c r="K79" s="160">
        <f t="shared" si="22"/>
        <v>170.7067258449983</v>
      </c>
      <c r="L79" s="171">
        <f t="shared" si="27"/>
        <v>172.41379310344828</v>
      </c>
      <c r="M79" s="160">
        <f t="shared" si="23"/>
        <v>179.31034482758622</v>
      </c>
      <c r="N79" s="160">
        <f t="shared" si="23"/>
        <v>186.48275862068968</v>
      </c>
      <c r="O79" s="160">
        <f t="shared" si="23"/>
        <v>193.94206896551728</v>
      </c>
      <c r="P79" s="161">
        <f t="shared" si="23"/>
        <v>201.69975172413797</v>
      </c>
      <c r="Q79" s="159">
        <f t="shared" si="24"/>
        <v>209.76774179310348</v>
      </c>
      <c r="R79" s="161">
        <f t="shared" si="24"/>
        <v>218.15845146482764</v>
      </c>
      <c r="S79" s="159">
        <f t="shared" si="25"/>
        <v>226.88478952342075</v>
      </c>
      <c r="T79" s="160">
        <f t="shared" si="25"/>
        <v>235.9601811043576</v>
      </c>
      <c r="U79" s="160">
        <f t="shared" si="25"/>
        <v>245.3985883485319</v>
      </c>
      <c r="V79" s="160">
        <f t="shared" si="25"/>
        <v>255.21453188247318</v>
      </c>
      <c r="W79" s="161">
        <f t="shared" si="25"/>
        <v>265.4231131577721</v>
      </c>
      <c r="X79" s="142" t="s">
        <v>124</v>
      </c>
    </row>
    <row r="80" spans="1:24" ht="14.4" customHeight="1">
      <c r="A80" s="155" t="s">
        <v>33</v>
      </c>
      <c r="B80" s="209">
        <v>0.03</v>
      </c>
      <c r="C80" s="210">
        <v>0.04</v>
      </c>
      <c r="D80" s="209">
        <f t="shared" si="15"/>
        <v>0.04</v>
      </c>
      <c r="E80" s="210">
        <f t="shared" si="16"/>
        <v>0.04</v>
      </c>
      <c r="F80" s="159">
        <f t="shared" si="22"/>
        <v>231.03013977480123</v>
      </c>
      <c r="G80" s="160">
        <f t="shared" si="22"/>
        <v>237.96104396804526</v>
      </c>
      <c r="H80" s="160">
        <f t="shared" si="22"/>
        <v>245.09987528708663</v>
      </c>
      <c r="I80" s="160">
        <f t="shared" si="22"/>
        <v>252.45287154569922</v>
      </c>
      <c r="J80" s="160">
        <f t="shared" si="22"/>
        <v>260.0264576920702</v>
      </c>
      <c r="K80" s="160">
        <f t="shared" si="22"/>
        <v>267.8272514228323</v>
      </c>
      <c r="L80" s="171">
        <f t="shared" si="27"/>
        <v>275.86206896551727</v>
      </c>
      <c r="M80" s="160">
        <f t="shared" si="23"/>
        <v>286.89655172413796</v>
      </c>
      <c r="N80" s="160">
        <f t="shared" si="23"/>
        <v>298.3724137931035</v>
      </c>
      <c r="O80" s="160">
        <f t="shared" si="23"/>
        <v>310.3073103448276</v>
      </c>
      <c r="P80" s="161">
        <f t="shared" si="23"/>
        <v>322.71960275862074</v>
      </c>
      <c r="Q80" s="159">
        <f t="shared" si="24"/>
        <v>335.6283868689656</v>
      </c>
      <c r="R80" s="161">
        <f t="shared" si="24"/>
        <v>349.05352234372424</v>
      </c>
      <c r="S80" s="159">
        <f t="shared" si="25"/>
        <v>363.01566323747323</v>
      </c>
      <c r="T80" s="160">
        <f t="shared" si="25"/>
        <v>377.5362897669722</v>
      </c>
      <c r="U80" s="160">
        <f t="shared" si="25"/>
        <v>392.63774135765107</v>
      </c>
      <c r="V80" s="160">
        <f t="shared" si="25"/>
        <v>408.34325101195714</v>
      </c>
      <c r="W80" s="161">
        <f t="shared" si="25"/>
        <v>424.67698105243545</v>
      </c>
      <c r="X80" s="142" t="s">
        <v>97</v>
      </c>
    </row>
    <row r="81" spans="1:24" ht="15" customHeight="1">
      <c r="A81" s="155" t="s">
        <v>101</v>
      </c>
      <c r="B81" s="209">
        <v>0.1</v>
      </c>
      <c r="C81" s="210">
        <v>0.08</v>
      </c>
      <c r="D81" s="209">
        <f t="shared" si="15"/>
        <v>0.08</v>
      </c>
      <c r="E81" s="210">
        <f t="shared" si="16"/>
        <v>0.08</v>
      </c>
      <c r="F81" s="159">
        <f t="shared" si="22"/>
        <v>2530.400376103139</v>
      </c>
      <c r="G81" s="160">
        <f t="shared" si="22"/>
        <v>2783.440413713453</v>
      </c>
      <c r="H81" s="160">
        <f t="shared" si="22"/>
        <v>3061.7844550847985</v>
      </c>
      <c r="I81" s="160">
        <f t="shared" si="22"/>
        <v>3367.962900593279</v>
      </c>
      <c r="J81" s="160">
        <f t="shared" si="22"/>
        <v>3704.7591906526072</v>
      </c>
      <c r="K81" s="160">
        <f t="shared" si="22"/>
        <v>4075.2351097178685</v>
      </c>
      <c r="L81" s="171">
        <f t="shared" si="27"/>
        <v>4482.758620689656</v>
      </c>
      <c r="M81" s="160">
        <f t="shared" si="23"/>
        <v>4841.379310344829</v>
      </c>
      <c r="N81" s="160">
        <f t="shared" si="23"/>
        <v>5228.689655172416</v>
      </c>
      <c r="O81" s="160">
        <f t="shared" si="23"/>
        <v>5646.98482758621</v>
      </c>
      <c r="P81" s="161">
        <f t="shared" si="23"/>
        <v>6098.743613793106</v>
      </c>
      <c r="Q81" s="159">
        <f t="shared" si="24"/>
        <v>6586.643102896555</v>
      </c>
      <c r="R81" s="161">
        <f t="shared" si="24"/>
        <v>7113.57455112828</v>
      </c>
      <c r="S81" s="159">
        <f t="shared" si="25"/>
        <v>7682.660515218543</v>
      </c>
      <c r="T81" s="160">
        <f t="shared" si="25"/>
        <v>8297.273356436028</v>
      </c>
      <c r="U81" s="160">
        <f t="shared" si="25"/>
        <v>8961.055224950911</v>
      </c>
      <c r="V81" s="160">
        <f t="shared" si="25"/>
        <v>9677.939642946985</v>
      </c>
      <c r="W81" s="161">
        <f t="shared" si="25"/>
        <v>10452.174814382744</v>
      </c>
      <c r="X81" s="142" t="s">
        <v>125</v>
      </c>
    </row>
    <row r="82" spans="1:24" ht="15" customHeight="1">
      <c r="A82" s="178" t="s">
        <v>16</v>
      </c>
      <c r="B82" s="217">
        <v>0.03</v>
      </c>
      <c r="C82" s="218">
        <v>0.03</v>
      </c>
      <c r="D82" s="217">
        <f t="shared" si="15"/>
        <v>0.03</v>
      </c>
      <c r="E82" s="218">
        <f t="shared" si="16"/>
        <v>0.03</v>
      </c>
      <c r="F82" s="219">
        <f t="shared" si="22"/>
        <v>144.39383735925077</v>
      </c>
      <c r="G82" s="220">
        <f t="shared" si="22"/>
        <v>148.7256524800283</v>
      </c>
      <c r="H82" s="220">
        <f t="shared" si="22"/>
        <v>153.18742205442913</v>
      </c>
      <c r="I82" s="220">
        <f t="shared" si="22"/>
        <v>157.78304471606202</v>
      </c>
      <c r="J82" s="220">
        <f t="shared" si="22"/>
        <v>162.51653605754387</v>
      </c>
      <c r="K82" s="220">
        <f t="shared" si="22"/>
        <v>167.39203213927019</v>
      </c>
      <c r="L82" s="221">
        <f t="shared" si="27"/>
        <v>172.41379310344828</v>
      </c>
      <c r="M82" s="220">
        <f t="shared" si="23"/>
        <v>177.58620689655174</v>
      </c>
      <c r="N82" s="220">
        <f t="shared" si="23"/>
        <v>182.9137931034483</v>
      </c>
      <c r="O82" s="220">
        <f t="shared" si="23"/>
        <v>188.40120689655177</v>
      </c>
      <c r="P82" s="222">
        <f t="shared" si="23"/>
        <v>194.05324310344832</v>
      </c>
      <c r="Q82" s="219">
        <f t="shared" si="24"/>
        <v>199.87484039655178</v>
      </c>
      <c r="R82" s="222">
        <f t="shared" si="24"/>
        <v>205.87108560844834</v>
      </c>
      <c r="S82" s="219">
        <f t="shared" si="25"/>
        <v>212.0472181767018</v>
      </c>
      <c r="T82" s="220">
        <f t="shared" si="25"/>
        <v>218.40863472200286</v>
      </c>
      <c r="U82" s="220">
        <f t="shared" si="25"/>
        <v>224.96089376366294</v>
      </c>
      <c r="V82" s="220">
        <f t="shared" si="25"/>
        <v>231.70972057657283</v>
      </c>
      <c r="W82" s="222">
        <f t="shared" si="25"/>
        <v>238.66101219387002</v>
      </c>
      <c r="X82" s="142" t="s">
        <v>97</v>
      </c>
    </row>
    <row r="83" spans="1:24" ht="25.25" customHeight="1">
      <c r="A83" s="236"/>
      <c r="B83" s="237"/>
      <c r="C83" s="416"/>
      <c r="D83" s="416"/>
      <c r="E83" s="416"/>
      <c r="F83" s="417"/>
      <c r="G83" s="238"/>
      <c r="H83" s="238"/>
      <c r="I83" s="238"/>
      <c r="J83" s="417"/>
      <c r="K83" s="417"/>
      <c r="L83" s="239"/>
      <c r="M83" s="238"/>
      <c r="N83" s="238"/>
      <c r="O83" s="238"/>
      <c r="P83" s="238"/>
      <c r="Q83" s="238"/>
      <c r="R83" s="238"/>
      <c r="S83" s="238"/>
      <c r="T83" s="238"/>
      <c r="U83" s="238"/>
      <c r="V83" s="238"/>
      <c r="W83" s="238"/>
      <c r="X83" s="142"/>
    </row>
    <row r="84" spans="1:24" ht="27.75" customHeight="1">
      <c r="A84" s="151" t="s">
        <v>126</v>
      </c>
      <c r="B84" s="153" t="s">
        <v>354</v>
      </c>
      <c r="C84" s="154" t="s">
        <v>71</v>
      </c>
      <c r="D84" s="153" t="s">
        <v>72</v>
      </c>
      <c r="E84" s="154" t="s">
        <v>73</v>
      </c>
      <c r="F84" s="153">
        <v>2013</v>
      </c>
      <c r="G84" s="152">
        <v>2014</v>
      </c>
      <c r="H84" s="152">
        <v>2015</v>
      </c>
      <c r="I84" s="152">
        <v>2016</v>
      </c>
      <c r="J84" s="152">
        <v>2017</v>
      </c>
      <c r="K84" s="152">
        <v>2018</v>
      </c>
      <c r="L84" s="152">
        <v>2019</v>
      </c>
      <c r="M84" s="152">
        <v>2020</v>
      </c>
      <c r="N84" s="152">
        <v>2021</v>
      </c>
      <c r="O84" s="152">
        <v>2022</v>
      </c>
      <c r="P84" s="154">
        <v>2023</v>
      </c>
      <c r="Q84" s="153">
        <v>2024</v>
      </c>
      <c r="R84" s="154">
        <v>2025</v>
      </c>
      <c r="S84" s="153">
        <v>2026</v>
      </c>
      <c r="T84" s="152">
        <v>2027</v>
      </c>
      <c r="U84" s="152">
        <v>2028</v>
      </c>
      <c r="V84" s="152">
        <v>2029</v>
      </c>
      <c r="W84" s="154">
        <v>2030</v>
      </c>
      <c r="X84" s="142"/>
    </row>
    <row r="85" spans="1:24" ht="15" customHeight="1">
      <c r="A85" s="155" t="s">
        <v>74</v>
      </c>
      <c r="B85" s="209">
        <v>-0.05</v>
      </c>
      <c r="C85" s="210">
        <v>-0.01</v>
      </c>
      <c r="D85" s="209">
        <f t="shared" si="15"/>
        <v>-0.01</v>
      </c>
      <c r="E85" s="210">
        <f t="shared" si="16"/>
        <v>-0.01</v>
      </c>
      <c r="F85" s="159">
        <f t="shared" si="22"/>
        <v>635.2947243139098</v>
      </c>
      <c r="G85" s="160">
        <f aca="true" t="shared" si="29" ref="G85:K86">H85/(1+$B85)</f>
        <v>603.5299880982143</v>
      </c>
      <c r="H85" s="171">
        <f t="shared" si="29"/>
        <v>573.3534886933036</v>
      </c>
      <c r="I85" s="160">
        <f t="shared" si="29"/>
        <v>544.6858142586384</v>
      </c>
      <c r="J85" s="160">
        <f t="shared" si="29"/>
        <v>517.4515235457064</v>
      </c>
      <c r="K85" s="160">
        <f t="shared" si="29"/>
        <v>491.5789473684211</v>
      </c>
      <c r="L85" s="168">
        <v>467</v>
      </c>
      <c r="M85" s="160">
        <f t="shared" si="23"/>
        <v>462.33</v>
      </c>
      <c r="N85" s="160">
        <f t="shared" si="23"/>
        <v>457.70669999999996</v>
      </c>
      <c r="O85" s="168">
        <f t="shared" si="23"/>
        <v>453.12963299999996</v>
      </c>
      <c r="P85" s="169">
        <f t="shared" si="23"/>
        <v>448.5983366699999</v>
      </c>
      <c r="Q85" s="170">
        <f t="shared" si="24"/>
        <v>444.1123533032999</v>
      </c>
      <c r="R85" s="169">
        <f>Q85*(1+$D85)</f>
        <v>439.6712297702669</v>
      </c>
      <c r="S85" s="170">
        <f t="shared" si="25"/>
        <v>435.27451747256424</v>
      </c>
      <c r="T85" s="168">
        <f aca="true" t="shared" si="30" ref="T85:W85">S85*(1+$E85)</f>
        <v>430.9217722978386</v>
      </c>
      <c r="U85" s="168">
        <f t="shared" si="30"/>
        <v>426.61255457486016</v>
      </c>
      <c r="V85" s="168">
        <f t="shared" si="30"/>
        <v>422.34642902911156</v>
      </c>
      <c r="W85" s="169">
        <f t="shared" si="30"/>
        <v>418.12296473882043</v>
      </c>
      <c r="X85" s="142" t="s">
        <v>127</v>
      </c>
    </row>
    <row r="86" spans="1:24" ht="15" customHeight="1">
      <c r="A86" s="155" t="s">
        <v>76</v>
      </c>
      <c r="B86" s="209">
        <v>0</v>
      </c>
      <c r="C86" s="210">
        <v>0</v>
      </c>
      <c r="D86" s="209">
        <f t="shared" si="15"/>
        <v>0</v>
      </c>
      <c r="E86" s="210">
        <f t="shared" si="16"/>
        <v>0</v>
      </c>
      <c r="F86" s="159">
        <f t="shared" si="22"/>
        <v>850</v>
      </c>
      <c r="G86" s="160">
        <f t="shared" si="29"/>
        <v>850</v>
      </c>
      <c r="H86" s="160">
        <f t="shared" si="29"/>
        <v>850</v>
      </c>
      <c r="I86" s="160">
        <f t="shared" si="29"/>
        <v>850</v>
      </c>
      <c r="J86" s="160">
        <f t="shared" si="29"/>
        <v>850</v>
      </c>
      <c r="K86" s="160">
        <f t="shared" si="29"/>
        <v>850</v>
      </c>
      <c r="L86" s="190">
        <v>850</v>
      </c>
      <c r="M86" s="160">
        <f t="shared" si="23"/>
        <v>850</v>
      </c>
      <c r="N86" s="160">
        <f t="shared" si="23"/>
        <v>850</v>
      </c>
      <c r="O86" s="168">
        <f t="shared" si="23"/>
        <v>850</v>
      </c>
      <c r="P86" s="169">
        <f t="shared" si="23"/>
        <v>850</v>
      </c>
      <c r="Q86" s="170">
        <f t="shared" si="24"/>
        <v>850</v>
      </c>
      <c r="R86" s="169">
        <f t="shared" si="24"/>
        <v>850</v>
      </c>
      <c r="S86" s="170">
        <f t="shared" si="25"/>
        <v>850</v>
      </c>
      <c r="T86" s="168">
        <f t="shared" si="25"/>
        <v>850</v>
      </c>
      <c r="U86" s="168">
        <f t="shared" si="25"/>
        <v>850</v>
      </c>
      <c r="V86" s="168">
        <f t="shared" si="25"/>
        <v>850</v>
      </c>
      <c r="W86" s="169">
        <f t="shared" si="25"/>
        <v>850</v>
      </c>
      <c r="X86" s="142" t="s">
        <v>128</v>
      </c>
    </row>
    <row r="87" spans="1:24" ht="15" customHeight="1">
      <c r="A87" s="155" t="s">
        <v>78</v>
      </c>
      <c r="B87" s="209">
        <v>-0.01</v>
      </c>
      <c r="C87" s="210">
        <v>0.01</v>
      </c>
      <c r="D87" s="209">
        <f t="shared" si="15"/>
        <v>0.01</v>
      </c>
      <c r="E87" s="210">
        <f t="shared" si="16"/>
        <v>0.01</v>
      </c>
      <c r="F87" s="159">
        <f t="shared" si="22"/>
        <v>884.7770189631524</v>
      </c>
      <c r="G87" s="160">
        <f t="shared" si="22"/>
        <v>875.9292487735208</v>
      </c>
      <c r="H87" s="160">
        <f t="shared" si="22"/>
        <v>867.1699562857856</v>
      </c>
      <c r="I87" s="171">
        <f t="shared" si="22"/>
        <v>858.4982567229277</v>
      </c>
      <c r="J87" s="171">
        <f t="shared" si="22"/>
        <v>849.9132741556984</v>
      </c>
      <c r="K87" s="160">
        <f t="shared" si="22"/>
        <v>841.4141414141415</v>
      </c>
      <c r="L87" s="168">
        <f>1300-L85</f>
        <v>833</v>
      </c>
      <c r="M87" s="160">
        <f t="shared" si="23"/>
        <v>841.33</v>
      </c>
      <c r="N87" s="160">
        <f t="shared" si="23"/>
        <v>849.7433000000001</v>
      </c>
      <c r="O87" s="168">
        <f t="shared" si="23"/>
        <v>858.2407330000001</v>
      </c>
      <c r="P87" s="169">
        <f t="shared" si="23"/>
        <v>866.8231403300001</v>
      </c>
      <c r="Q87" s="170">
        <f t="shared" si="24"/>
        <v>875.4913717333001</v>
      </c>
      <c r="R87" s="169">
        <f t="shared" si="24"/>
        <v>884.2462854506331</v>
      </c>
      <c r="S87" s="170">
        <f t="shared" si="25"/>
        <v>893.0887483051395</v>
      </c>
      <c r="T87" s="168">
        <f t="shared" si="25"/>
        <v>902.0196357881908</v>
      </c>
      <c r="U87" s="168">
        <f t="shared" si="25"/>
        <v>911.0398321460727</v>
      </c>
      <c r="V87" s="168">
        <f t="shared" si="25"/>
        <v>920.1502304675334</v>
      </c>
      <c r="W87" s="169">
        <f t="shared" si="25"/>
        <v>929.3517327722088</v>
      </c>
      <c r="X87" s="142" t="s">
        <v>129</v>
      </c>
    </row>
    <row r="88" spans="1:24" ht="15" customHeight="1">
      <c r="A88" s="155" t="s">
        <v>79</v>
      </c>
      <c r="B88" s="209">
        <v>0.01</v>
      </c>
      <c r="C88" s="210">
        <v>0.01</v>
      </c>
      <c r="D88" s="209">
        <f t="shared" si="15"/>
        <v>0.01</v>
      </c>
      <c r="E88" s="210">
        <f t="shared" si="16"/>
        <v>0.01</v>
      </c>
      <c r="F88" s="159">
        <f t="shared" si="22"/>
        <v>659.4316646779448</v>
      </c>
      <c r="G88" s="160">
        <f t="shared" si="22"/>
        <v>666.0259813247243</v>
      </c>
      <c r="H88" s="160">
        <f t="shared" si="22"/>
        <v>672.6862411379715</v>
      </c>
      <c r="I88" s="160">
        <f t="shared" si="22"/>
        <v>679.4131035493511</v>
      </c>
      <c r="J88" s="160">
        <f t="shared" si="22"/>
        <v>686.2072345848446</v>
      </c>
      <c r="K88" s="160">
        <f t="shared" si="22"/>
        <v>693.0693069306931</v>
      </c>
      <c r="L88" s="190">
        <v>700</v>
      </c>
      <c r="M88" s="160">
        <f t="shared" si="23"/>
        <v>707</v>
      </c>
      <c r="N88" s="160">
        <f t="shared" si="23"/>
        <v>714.07</v>
      </c>
      <c r="O88" s="168">
        <f t="shared" si="23"/>
        <v>721.2107000000001</v>
      </c>
      <c r="P88" s="169">
        <f t="shared" si="23"/>
        <v>728.4228070000001</v>
      </c>
      <c r="Q88" s="170">
        <f t="shared" si="24"/>
        <v>735.7070350700002</v>
      </c>
      <c r="R88" s="169">
        <f t="shared" si="24"/>
        <v>743.0641054207002</v>
      </c>
      <c r="S88" s="170">
        <f t="shared" si="25"/>
        <v>750.4947464749073</v>
      </c>
      <c r="T88" s="168">
        <f t="shared" si="25"/>
        <v>757.9996939396564</v>
      </c>
      <c r="U88" s="168">
        <f t="shared" si="25"/>
        <v>765.5796908790529</v>
      </c>
      <c r="V88" s="168">
        <f t="shared" si="25"/>
        <v>773.2354877878435</v>
      </c>
      <c r="W88" s="169">
        <f t="shared" si="25"/>
        <v>780.967842665722</v>
      </c>
      <c r="X88" s="142" t="s">
        <v>130</v>
      </c>
    </row>
    <row r="89" spans="1:24" ht="15" customHeight="1">
      <c r="A89" s="155" t="s">
        <v>81</v>
      </c>
      <c r="B89" s="209">
        <v>0.1</v>
      </c>
      <c r="C89" s="210">
        <v>0.02</v>
      </c>
      <c r="D89" s="209">
        <f aca="true" t="shared" si="31" ref="D89:D101">C89</f>
        <v>0.02</v>
      </c>
      <c r="E89" s="210">
        <f aca="true" t="shared" si="32" ref="E89:E101">C89</f>
        <v>0.02</v>
      </c>
      <c r="F89" s="159">
        <f t="shared" si="22"/>
        <v>626.5660623596928</v>
      </c>
      <c r="G89" s="160">
        <f t="shared" si="22"/>
        <v>689.2226685956621</v>
      </c>
      <c r="H89" s="168">
        <f t="shared" si="22"/>
        <v>758.1449354552283</v>
      </c>
      <c r="I89" s="168">
        <f t="shared" si="22"/>
        <v>833.9594290007511</v>
      </c>
      <c r="J89" s="160">
        <f t="shared" si="22"/>
        <v>917.3553719008263</v>
      </c>
      <c r="K89" s="160">
        <f t="shared" si="22"/>
        <v>1009.090909090909</v>
      </c>
      <c r="L89" s="171">
        <v>1110</v>
      </c>
      <c r="M89" s="160">
        <f t="shared" si="23"/>
        <v>1132.2</v>
      </c>
      <c r="N89" s="160">
        <f t="shared" si="23"/>
        <v>1154.844</v>
      </c>
      <c r="O89" s="168">
        <f t="shared" si="23"/>
        <v>1177.94088</v>
      </c>
      <c r="P89" s="169">
        <f t="shared" si="23"/>
        <v>1201.4996976000002</v>
      </c>
      <c r="Q89" s="170">
        <f t="shared" si="24"/>
        <v>1225.5296915520003</v>
      </c>
      <c r="R89" s="169">
        <f t="shared" si="24"/>
        <v>1250.0402853830403</v>
      </c>
      <c r="S89" s="170">
        <f t="shared" si="25"/>
        <v>1275.0410910907012</v>
      </c>
      <c r="T89" s="168">
        <f t="shared" si="25"/>
        <v>1300.5419129125153</v>
      </c>
      <c r="U89" s="168">
        <f t="shared" si="25"/>
        <v>1326.5527511707655</v>
      </c>
      <c r="V89" s="168">
        <f t="shared" si="25"/>
        <v>1353.0838061941809</v>
      </c>
      <c r="W89" s="169">
        <f t="shared" si="25"/>
        <v>1380.1454823180645</v>
      </c>
      <c r="X89" s="142" t="s">
        <v>130</v>
      </c>
    </row>
    <row r="90" spans="1:24" ht="15" customHeight="1">
      <c r="A90" s="155" t="s">
        <v>30</v>
      </c>
      <c r="B90" s="209">
        <v>0.09</v>
      </c>
      <c r="C90" s="210">
        <v>0.07</v>
      </c>
      <c r="D90" s="209">
        <f t="shared" si="31"/>
        <v>0.07</v>
      </c>
      <c r="E90" s="210">
        <f t="shared" si="32"/>
        <v>0.07</v>
      </c>
      <c r="F90" s="159">
        <f t="shared" si="22"/>
        <v>2558.583099638715</v>
      </c>
      <c r="G90" s="160">
        <f t="shared" si="22"/>
        <v>2788.8555786061993</v>
      </c>
      <c r="H90" s="171">
        <f t="shared" si="22"/>
        <v>3039.8525806807575</v>
      </c>
      <c r="I90" s="160">
        <f t="shared" si="22"/>
        <v>3313.439312942026</v>
      </c>
      <c r="J90" s="160">
        <f t="shared" si="22"/>
        <v>3611.6488511068087</v>
      </c>
      <c r="K90" s="171">
        <f t="shared" si="22"/>
        <v>3936.697247706422</v>
      </c>
      <c r="L90" s="160">
        <v>4291</v>
      </c>
      <c r="M90" s="160">
        <f t="shared" si="23"/>
        <v>4591.37</v>
      </c>
      <c r="N90" s="160">
        <f t="shared" si="23"/>
        <v>4912.7659</v>
      </c>
      <c r="O90" s="168">
        <f t="shared" si="23"/>
        <v>5256.6595130000005</v>
      </c>
      <c r="P90" s="226">
        <f t="shared" si="23"/>
        <v>5624.625678910001</v>
      </c>
      <c r="Q90" s="170">
        <f t="shared" si="24"/>
        <v>6018.349476433701</v>
      </c>
      <c r="R90" s="169">
        <f t="shared" si="24"/>
        <v>6439.63393978406</v>
      </c>
      <c r="S90" s="170">
        <f t="shared" si="25"/>
        <v>6890.408315568945</v>
      </c>
      <c r="T90" s="168">
        <f t="shared" si="25"/>
        <v>7372.736897658771</v>
      </c>
      <c r="U90" s="168">
        <f t="shared" si="25"/>
        <v>7888.828480494886</v>
      </c>
      <c r="V90" s="168">
        <f t="shared" si="25"/>
        <v>8441.046474129529</v>
      </c>
      <c r="W90" s="169">
        <f t="shared" si="25"/>
        <v>9031.919727318596</v>
      </c>
      <c r="X90" s="142" t="s">
        <v>131</v>
      </c>
    </row>
    <row r="91" spans="1:24" ht="15" customHeight="1">
      <c r="A91" s="155" t="s">
        <v>84</v>
      </c>
      <c r="B91" s="209">
        <v>0.1</v>
      </c>
      <c r="C91" s="210">
        <v>0.09</v>
      </c>
      <c r="D91" s="209">
        <f t="shared" si="31"/>
        <v>0.09</v>
      </c>
      <c r="E91" s="210">
        <f t="shared" si="32"/>
        <v>0.09</v>
      </c>
      <c r="F91" s="159">
        <f t="shared" si="22"/>
        <v>358.4409455841485</v>
      </c>
      <c r="G91" s="160">
        <f t="shared" si="22"/>
        <v>394.2850401425634</v>
      </c>
      <c r="H91" s="160">
        <f t="shared" si="22"/>
        <v>433.71354415681975</v>
      </c>
      <c r="I91" s="171">
        <f t="shared" si="22"/>
        <v>477.08489857250174</v>
      </c>
      <c r="J91" s="160">
        <f t="shared" si="22"/>
        <v>524.793388429752</v>
      </c>
      <c r="K91" s="160">
        <f t="shared" si="22"/>
        <v>577.2727272727273</v>
      </c>
      <c r="L91" s="171">
        <v>635</v>
      </c>
      <c r="M91" s="160">
        <f t="shared" si="23"/>
        <v>692.1500000000001</v>
      </c>
      <c r="N91" s="171">
        <f t="shared" si="23"/>
        <v>754.4435000000002</v>
      </c>
      <c r="O91" s="168">
        <f t="shared" si="23"/>
        <v>822.3434150000003</v>
      </c>
      <c r="P91" s="169">
        <f t="shared" si="23"/>
        <v>896.3543223500004</v>
      </c>
      <c r="Q91" s="170">
        <f t="shared" si="24"/>
        <v>977.0262113615005</v>
      </c>
      <c r="R91" s="169">
        <f t="shared" si="24"/>
        <v>1064.9585703840355</v>
      </c>
      <c r="S91" s="170">
        <f t="shared" si="25"/>
        <v>1160.8048417185987</v>
      </c>
      <c r="T91" s="168">
        <f t="shared" si="25"/>
        <v>1265.2772774732728</v>
      </c>
      <c r="U91" s="168">
        <f t="shared" si="25"/>
        <v>1379.1522324458674</v>
      </c>
      <c r="V91" s="168">
        <f t="shared" si="25"/>
        <v>1503.2759333659956</v>
      </c>
      <c r="W91" s="169">
        <f t="shared" si="25"/>
        <v>1638.5707673689353</v>
      </c>
      <c r="X91" s="142" t="s">
        <v>132</v>
      </c>
    </row>
    <row r="92" spans="1:24" ht="15" customHeight="1">
      <c r="A92" s="155" t="s">
        <v>86</v>
      </c>
      <c r="B92" s="209">
        <v>-0.15</v>
      </c>
      <c r="C92" s="210">
        <v>-0.09</v>
      </c>
      <c r="D92" s="209">
        <f t="shared" si="31"/>
        <v>-0.09</v>
      </c>
      <c r="E92" s="210">
        <f t="shared" si="32"/>
        <v>-0.09</v>
      </c>
      <c r="F92" s="159">
        <f t="shared" si="22"/>
        <v>5732.474550357578</v>
      </c>
      <c r="G92" s="160">
        <f t="shared" si="22"/>
        <v>4872.603367803941</v>
      </c>
      <c r="H92" s="160">
        <f t="shared" si="22"/>
        <v>4141.71286263335</v>
      </c>
      <c r="I92" s="160">
        <f t="shared" si="22"/>
        <v>3520.4559332383474</v>
      </c>
      <c r="J92" s="160">
        <f t="shared" si="22"/>
        <v>2992.387543252595</v>
      </c>
      <c r="K92" s="171">
        <f t="shared" si="22"/>
        <v>2543.529411764706</v>
      </c>
      <c r="L92" s="171">
        <v>2162</v>
      </c>
      <c r="M92" s="160">
        <f t="shared" si="23"/>
        <v>1967.42</v>
      </c>
      <c r="N92" s="160">
        <f t="shared" si="23"/>
        <v>1790.3522</v>
      </c>
      <c r="O92" s="168">
        <f t="shared" si="23"/>
        <v>1629.2205020000001</v>
      </c>
      <c r="P92" s="226">
        <f t="shared" si="23"/>
        <v>1482.5906568200003</v>
      </c>
      <c r="Q92" s="170">
        <f t="shared" si="24"/>
        <v>1349.1574977062003</v>
      </c>
      <c r="R92" s="169">
        <f t="shared" si="24"/>
        <v>1227.7333229126423</v>
      </c>
      <c r="S92" s="170">
        <f t="shared" si="25"/>
        <v>1117.2373238505045</v>
      </c>
      <c r="T92" s="168">
        <f t="shared" si="25"/>
        <v>1016.6859647039591</v>
      </c>
      <c r="U92" s="168">
        <f t="shared" si="25"/>
        <v>925.1842278806029</v>
      </c>
      <c r="V92" s="168">
        <f t="shared" si="25"/>
        <v>841.9176473713486</v>
      </c>
      <c r="W92" s="169">
        <f t="shared" si="25"/>
        <v>766.1450591079273</v>
      </c>
      <c r="X92" s="142" t="s">
        <v>133</v>
      </c>
    </row>
    <row r="93" spans="1:24" ht="15" customHeight="1">
      <c r="A93" s="212" t="s">
        <v>88</v>
      </c>
      <c r="B93" s="209">
        <v>0.25</v>
      </c>
      <c r="C93" s="227">
        <v>0.25</v>
      </c>
      <c r="D93" s="209">
        <f t="shared" si="31"/>
        <v>0.25</v>
      </c>
      <c r="E93" s="210">
        <f t="shared" si="32"/>
        <v>0.25</v>
      </c>
      <c r="F93" s="159">
        <f t="shared" si="22"/>
        <v>2175.7952</v>
      </c>
      <c r="G93" s="160">
        <f t="shared" si="22"/>
        <v>2719.744</v>
      </c>
      <c r="H93" s="168">
        <f t="shared" si="22"/>
        <v>3399.6800000000003</v>
      </c>
      <c r="I93" s="168">
        <f t="shared" si="22"/>
        <v>4249.6</v>
      </c>
      <c r="J93" s="190">
        <f t="shared" si="22"/>
        <v>5312</v>
      </c>
      <c r="K93" s="168">
        <f t="shared" si="22"/>
        <v>6640</v>
      </c>
      <c r="L93" s="190">
        <v>8300</v>
      </c>
      <c r="M93" s="168">
        <f t="shared" si="23"/>
        <v>10375</v>
      </c>
      <c r="N93" s="160">
        <f t="shared" si="23"/>
        <v>12968.75</v>
      </c>
      <c r="O93" s="168">
        <f t="shared" si="23"/>
        <v>16210.9375</v>
      </c>
      <c r="P93" s="169">
        <f t="shared" si="23"/>
        <v>20263.671875</v>
      </c>
      <c r="Q93" s="170">
        <f t="shared" si="24"/>
        <v>25329.58984375</v>
      </c>
      <c r="R93" s="169">
        <f t="shared" si="24"/>
        <v>31661.9873046875</v>
      </c>
      <c r="S93" s="170">
        <f t="shared" si="25"/>
        <v>39577.484130859375</v>
      </c>
      <c r="T93" s="168">
        <f t="shared" si="25"/>
        <v>49471.85516357422</v>
      </c>
      <c r="U93" s="168">
        <f t="shared" si="25"/>
        <v>61839.81895446777</v>
      </c>
      <c r="V93" s="168">
        <f t="shared" si="25"/>
        <v>77299.77369308472</v>
      </c>
      <c r="W93" s="169">
        <f t="shared" si="25"/>
        <v>96624.7171163559</v>
      </c>
      <c r="X93" s="142" t="s">
        <v>134</v>
      </c>
    </row>
    <row r="94" spans="1:26" ht="15" customHeight="1">
      <c r="A94" s="155" t="s">
        <v>90</v>
      </c>
      <c r="B94" s="209">
        <v>0.015</v>
      </c>
      <c r="C94" s="210">
        <v>0.015</v>
      </c>
      <c r="D94" s="209">
        <f t="shared" si="31"/>
        <v>0.015</v>
      </c>
      <c r="E94" s="210">
        <f t="shared" si="32"/>
        <v>0.015</v>
      </c>
      <c r="F94" s="159">
        <f t="shared" si="22"/>
        <v>2170.2086228449098</v>
      </c>
      <c r="G94" s="160">
        <f t="shared" si="22"/>
        <v>2202.761752187583</v>
      </c>
      <c r="H94" s="160">
        <f t="shared" si="22"/>
        <v>2235.8031784703967</v>
      </c>
      <c r="I94" s="193">
        <f t="shared" si="22"/>
        <v>2269.3402261474525</v>
      </c>
      <c r="J94" s="193">
        <f t="shared" si="22"/>
        <v>2303.380329539664</v>
      </c>
      <c r="K94" s="193">
        <f t="shared" si="22"/>
        <v>2337.931034482759</v>
      </c>
      <c r="L94" s="171">
        <v>2373</v>
      </c>
      <c r="M94" s="160">
        <f t="shared" si="23"/>
        <v>2408.595</v>
      </c>
      <c r="N94" s="160">
        <f t="shared" si="23"/>
        <v>2444.723925</v>
      </c>
      <c r="O94" s="168">
        <f t="shared" si="23"/>
        <v>2481.3947838749996</v>
      </c>
      <c r="P94" s="169">
        <f t="shared" si="23"/>
        <v>2518.6157056331244</v>
      </c>
      <c r="Q94" s="170">
        <f t="shared" si="24"/>
        <v>2556.394941217621</v>
      </c>
      <c r="R94" s="169">
        <f t="shared" si="24"/>
        <v>2594.7408653358852</v>
      </c>
      <c r="S94" s="170">
        <f t="shared" si="25"/>
        <v>2633.661978315923</v>
      </c>
      <c r="T94" s="168">
        <f t="shared" si="25"/>
        <v>2673.1669079906615</v>
      </c>
      <c r="U94" s="168">
        <f t="shared" si="25"/>
        <v>2713.264411610521</v>
      </c>
      <c r="V94" s="168">
        <f t="shared" si="25"/>
        <v>2753.963377784679</v>
      </c>
      <c r="W94" s="169">
        <f t="shared" si="25"/>
        <v>2795.2728284514487</v>
      </c>
      <c r="X94" s="142" t="s">
        <v>135</v>
      </c>
      <c r="Z94" s="142">
        <f>1700/1500</f>
        <v>1.1333333333333333</v>
      </c>
    </row>
    <row r="95" spans="1:24" ht="15" customHeight="1">
      <c r="A95" s="155" t="s">
        <v>92</v>
      </c>
      <c r="B95" s="209">
        <v>0.1</v>
      </c>
      <c r="C95" s="210">
        <v>0.1</v>
      </c>
      <c r="D95" s="209">
        <f t="shared" si="31"/>
        <v>0.1</v>
      </c>
      <c r="E95" s="210">
        <f t="shared" si="32"/>
        <v>0.1</v>
      </c>
      <c r="F95" s="159">
        <f t="shared" si="22"/>
        <v>310.4606615295774</v>
      </c>
      <c r="G95" s="160">
        <f t="shared" si="22"/>
        <v>341.5067276825352</v>
      </c>
      <c r="H95" s="160">
        <f t="shared" si="22"/>
        <v>375.65740045078877</v>
      </c>
      <c r="I95" s="160">
        <f t="shared" si="22"/>
        <v>413.22314049586765</v>
      </c>
      <c r="J95" s="160">
        <f t="shared" si="22"/>
        <v>454.54545454545445</v>
      </c>
      <c r="K95" s="160">
        <f t="shared" si="22"/>
        <v>499.99999999999994</v>
      </c>
      <c r="L95" s="171">
        <v>550</v>
      </c>
      <c r="M95" s="160">
        <f t="shared" si="23"/>
        <v>605</v>
      </c>
      <c r="N95" s="160">
        <f t="shared" si="23"/>
        <v>665.5</v>
      </c>
      <c r="O95" s="168">
        <f t="shared" si="23"/>
        <v>732.0500000000001</v>
      </c>
      <c r="P95" s="169">
        <f t="shared" si="23"/>
        <v>805.2550000000001</v>
      </c>
      <c r="Q95" s="170">
        <f t="shared" si="24"/>
        <v>885.7805000000002</v>
      </c>
      <c r="R95" s="169">
        <f t="shared" si="24"/>
        <v>974.3585500000003</v>
      </c>
      <c r="S95" s="170">
        <f t="shared" si="25"/>
        <v>1071.7944050000003</v>
      </c>
      <c r="T95" s="168">
        <f t="shared" si="25"/>
        <v>1178.9738455000004</v>
      </c>
      <c r="U95" s="168">
        <f t="shared" si="25"/>
        <v>1296.8712300500006</v>
      </c>
      <c r="V95" s="168">
        <f t="shared" si="25"/>
        <v>1426.5583530550007</v>
      </c>
      <c r="W95" s="169">
        <f t="shared" si="25"/>
        <v>1569.2141883605009</v>
      </c>
      <c r="X95" s="142" t="s">
        <v>136</v>
      </c>
    </row>
    <row r="96" spans="1:24" ht="15" customHeight="1">
      <c r="A96" s="155" t="s">
        <v>94</v>
      </c>
      <c r="B96" s="209">
        <v>0.04</v>
      </c>
      <c r="C96" s="210">
        <v>0.023</v>
      </c>
      <c r="D96" s="209">
        <f t="shared" si="31"/>
        <v>0.023</v>
      </c>
      <c r="E96" s="210">
        <f t="shared" si="32"/>
        <v>0.023</v>
      </c>
      <c r="F96" s="159">
        <f t="shared" si="22"/>
        <v>213.38492194713933</v>
      </c>
      <c r="G96" s="160">
        <f t="shared" si="22"/>
        <v>221.9203188250249</v>
      </c>
      <c r="H96" s="160">
        <f t="shared" si="22"/>
        <v>230.7971315780259</v>
      </c>
      <c r="I96" s="160">
        <f t="shared" si="22"/>
        <v>240.02901684114696</v>
      </c>
      <c r="J96" s="160">
        <f t="shared" si="22"/>
        <v>249.63017751479285</v>
      </c>
      <c r="K96" s="160">
        <f t="shared" si="22"/>
        <v>259.6153846153846</v>
      </c>
      <c r="L96" s="171">
        <v>270</v>
      </c>
      <c r="M96" s="160">
        <f t="shared" si="23"/>
        <v>276.21</v>
      </c>
      <c r="N96" s="160">
        <f t="shared" si="23"/>
        <v>282.56282999999996</v>
      </c>
      <c r="O96" s="168">
        <f t="shared" si="23"/>
        <v>289.0617750899999</v>
      </c>
      <c r="P96" s="169">
        <f t="shared" si="23"/>
        <v>295.7101959170699</v>
      </c>
      <c r="Q96" s="170">
        <f t="shared" si="24"/>
        <v>302.51153042316247</v>
      </c>
      <c r="R96" s="169">
        <f t="shared" si="24"/>
        <v>309.4692956228952</v>
      </c>
      <c r="S96" s="170">
        <f t="shared" si="25"/>
        <v>316.5870894222217</v>
      </c>
      <c r="T96" s="168">
        <f t="shared" si="25"/>
        <v>323.8685924789328</v>
      </c>
      <c r="U96" s="168">
        <f t="shared" si="25"/>
        <v>331.3175701059482</v>
      </c>
      <c r="V96" s="168">
        <f t="shared" si="25"/>
        <v>338.937874218385</v>
      </c>
      <c r="W96" s="169">
        <f t="shared" si="25"/>
        <v>346.73344532540784</v>
      </c>
      <c r="X96" s="142" t="s">
        <v>137</v>
      </c>
    </row>
    <row r="97" spans="1:24" ht="15" customHeight="1">
      <c r="A97" s="155" t="s">
        <v>96</v>
      </c>
      <c r="B97" s="209">
        <v>0.02</v>
      </c>
      <c r="C97" s="210">
        <v>0.02</v>
      </c>
      <c r="D97" s="209">
        <f t="shared" si="31"/>
        <v>0.02</v>
      </c>
      <c r="E97" s="210">
        <f t="shared" si="32"/>
        <v>0.02</v>
      </c>
      <c r="F97" s="159">
        <f t="shared" si="22"/>
        <v>317.00578344047057</v>
      </c>
      <c r="G97" s="160">
        <f t="shared" si="22"/>
        <v>323.34589910927997</v>
      </c>
      <c r="H97" s="160">
        <f t="shared" si="22"/>
        <v>329.81281709146555</v>
      </c>
      <c r="I97" s="160">
        <f t="shared" si="22"/>
        <v>336.40907343329485</v>
      </c>
      <c r="J97" s="160">
        <f t="shared" si="22"/>
        <v>343.1372549019608</v>
      </c>
      <c r="K97" s="160">
        <f t="shared" si="22"/>
        <v>350</v>
      </c>
      <c r="L97" s="171">
        <v>357</v>
      </c>
      <c r="M97" s="160">
        <f t="shared" si="23"/>
        <v>364.14</v>
      </c>
      <c r="N97" s="160">
        <f t="shared" si="23"/>
        <v>371.4228</v>
      </c>
      <c r="O97" s="168">
        <f t="shared" si="23"/>
        <v>378.851256</v>
      </c>
      <c r="P97" s="169">
        <f t="shared" si="23"/>
        <v>386.42828112</v>
      </c>
      <c r="Q97" s="170">
        <f t="shared" si="24"/>
        <v>394.15684674240003</v>
      </c>
      <c r="R97" s="169">
        <f t="shared" si="24"/>
        <v>402.039983677248</v>
      </c>
      <c r="S97" s="170">
        <f t="shared" si="25"/>
        <v>410.080783350793</v>
      </c>
      <c r="T97" s="168">
        <f t="shared" si="25"/>
        <v>418.28239901780887</v>
      </c>
      <c r="U97" s="168">
        <f t="shared" si="25"/>
        <v>426.64804699816506</v>
      </c>
      <c r="V97" s="168">
        <f t="shared" si="25"/>
        <v>435.18100793812835</v>
      </c>
      <c r="W97" s="169">
        <f t="shared" si="25"/>
        <v>443.88462809689094</v>
      </c>
      <c r="X97" s="142" t="s">
        <v>97</v>
      </c>
    </row>
    <row r="98" spans="1:24" ht="15" customHeight="1">
      <c r="A98" s="155" t="s">
        <v>5</v>
      </c>
      <c r="B98" s="209">
        <v>0.5</v>
      </c>
      <c r="C98" s="227">
        <v>0.5</v>
      </c>
      <c r="D98" s="209">
        <f t="shared" si="31"/>
        <v>0.5</v>
      </c>
      <c r="E98" s="210">
        <f t="shared" si="32"/>
        <v>0.5</v>
      </c>
      <c r="F98" s="159">
        <f t="shared" si="22"/>
        <v>5.530864197530864</v>
      </c>
      <c r="G98" s="160">
        <f t="shared" si="22"/>
        <v>8.296296296296296</v>
      </c>
      <c r="H98" s="160">
        <f t="shared" si="22"/>
        <v>12.444444444444445</v>
      </c>
      <c r="I98" s="160">
        <f t="shared" si="22"/>
        <v>18.666666666666668</v>
      </c>
      <c r="J98" s="160">
        <f t="shared" si="22"/>
        <v>28</v>
      </c>
      <c r="K98" s="160">
        <f t="shared" si="22"/>
        <v>42</v>
      </c>
      <c r="L98" s="190">
        <v>63</v>
      </c>
      <c r="M98" s="160">
        <f t="shared" si="23"/>
        <v>94.5</v>
      </c>
      <c r="N98" s="168">
        <f t="shared" si="23"/>
        <v>141.75</v>
      </c>
      <c r="O98" s="168">
        <f t="shared" si="23"/>
        <v>212.625</v>
      </c>
      <c r="P98" s="169">
        <f t="shared" si="23"/>
        <v>318.9375</v>
      </c>
      <c r="Q98" s="170">
        <f t="shared" si="24"/>
        <v>478.40625</v>
      </c>
      <c r="R98" s="169">
        <f t="shared" si="24"/>
        <v>717.609375</v>
      </c>
      <c r="S98" s="170">
        <f t="shared" si="25"/>
        <v>1076.4140625</v>
      </c>
      <c r="T98" s="168">
        <f t="shared" si="25"/>
        <v>1614.62109375</v>
      </c>
      <c r="U98" s="168">
        <f t="shared" si="25"/>
        <v>2421.931640625</v>
      </c>
      <c r="V98" s="168">
        <f t="shared" si="25"/>
        <v>3632.8974609375</v>
      </c>
      <c r="W98" s="169">
        <f t="shared" si="25"/>
        <v>5449.34619140625</v>
      </c>
      <c r="X98" s="142" t="s">
        <v>138</v>
      </c>
    </row>
    <row r="99" spans="1:24" ht="15" customHeight="1">
      <c r="A99" s="155" t="s">
        <v>33</v>
      </c>
      <c r="B99" s="209">
        <v>0.8</v>
      </c>
      <c r="C99" s="227">
        <v>0.7</v>
      </c>
      <c r="D99" s="228">
        <f>'Update Scenarios'!C11</f>
        <v>0.4</v>
      </c>
      <c r="E99" s="225">
        <f>'Update Scenarios'!D11</f>
        <v>0.2</v>
      </c>
      <c r="F99" s="159">
        <f t="shared" si="22"/>
        <v>6.115448375266492</v>
      </c>
      <c r="G99" s="160">
        <f t="shared" si="22"/>
        <v>11.007807075479686</v>
      </c>
      <c r="H99" s="160">
        <f t="shared" si="22"/>
        <v>19.814052735863434</v>
      </c>
      <c r="I99" s="160">
        <f t="shared" si="22"/>
        <v>35.66529492455418</v>
      </c>
      <c r="J99" s="160">
        <f t="shared" si="22"/>
        <v>64.19753086419753</v>
      </c>
      <c r="K99" s="160">
        <f t="shared" si="22"/>
        <v>115.55555555555556</v>
      </c>
      <c r="L99" s="171">
        <v>208</v>
      </c>
      <c r="M99" s="160">
        <f t="shared" si="23"/>
        <v>353.59999999999997</v>
      </c>
      <c r="N99" s="168">
        <f t="shared" si="23"/>
        <v>601.1199999999999</v>
      </c>
      <c r="O99" s="168">
        <f t="shared" si="23"/>
        <v>1021.9039999999998</v>
      </c>
      <c r="P99" s="169">
        <f t="shared" si="23"/>
        <v>1737.2367999999997</v>
      </c>
      <c r="Q99" s="170">
        <f t="shared" si="24"/>
        <v>2432.1315199999995</v>
      </c>
      <c r="R99" s="169">
        <f t="shared" si="24"/>
        <v>3404.984127999999</v>
      </c>
      <c r="S99" s="170">
        <f t="shared" si="25"/>
        <v>4085.980953599999</v>
      </c>
      <c r="T99" s="168">
        <f t="shared" si="25"/>
        <v>4903.177144319999</v>
      </c>
      <c r="U99" s="168">
        <f t="shared" si="25"/>
        <v>5883.812573183998</v>
      </c>
      <c r="V99" s="168">
        <f t="shared" si="25"/>
        <v>7060.575087820797</v>
      </c>
      <c r="W99" s="169">
        <f t="shared" si="25"/>
        <v>8472.690105384956</v>
      </c>
      <c r="X99" s="142" t="s">
        <v>139</v>
      </c>
    </row>
    <row r="100" spans="1:24" ht="15" customHeight="1">
      <c r="A100" s="155" t="s">
        <v>101</v>
      </c>
      <c r="B100" s="209">
        <v>0.2</v>
      </c>
      <c r="C100" s="227">
        <v>0.2</v>
      </c>
      <c r="D100" s="209">
        <f t="shared" si="31"/>
        <v>0.2</v>
      </c>
      <c r="E100" s="210">
        <f t="shared" si="32"/>
        <v>0.2</v>
      </c>
      <c r="F100" s="159">
        <f t="shared" si="22"/>
        <v>21.433470507544587</v>
      </c>
      <c r="G100" s="160">
        <f t="shared" si="22"/>
        <v>25.720164609053505</v>
      </c>
      <c r="H100" s="160">
        <f t="shared" si="22"/>
        <v>30.864197530864207</v>
      </c>
      <c r="I100" s="160">
        <f t="shared" si="22"/>
        <v>37.037037037037045</v>
      </c>
      <c r="J100" s="160">
        <f t="shared" si="22"/>
        <v>44.44444444444445</v>
      </c>
      <c r="K100" s="160">
        <f t="shared" si="22"/>
        <v>53.333333333333336</v>
      </c>
      <c r="L100" s="171">
        <v>64</v>
      </c>
      <c r="M100" s="160">
        <f t="shared" si="23"/>
        <v>76.8</v>
      </c>
      <c r="N100" s="168">
        <f t="shared" si="23"/>
        <v>92.16</v>
      </c>
      <c r="O100" s="168">
        <f t="shared" si="23"/>
        <v>110.592</v>
      </c>
      <c r="P100" s="169">
        <f t="shared" si="23"/>
        <v>132.7104</v>
      </c>
      <c r="Q100" s="170">
        <f aca="true" t="shared" si="33" ref="Q100:R101">P100*(1+$D100)</f>
        <v>159.25248</v>
      </c>
      <c r="R100" s="169">
        <f t="shared" si="33"/>
        <v>191.10297599999998</v>
      </c>
      <c r="S100" s="170">
        <f aca="true" t="shared" si="34" ref="S100:W101">R100*(1+$E100)</f>
        <v>229.32357119999998</v>
      </c>
      <c r="T100" s="168">
        <f t="shared" si="34"/>
        <v>275.18828543999996</v>
      </c>
      <c r="U100" s="168">
        <f t="shared" si="34"/>
        <v>330.22594252799996</v>
      </c>
      <c r="V100" s="168">
        <f t="shared" si="34"/>
        <v>396.27113103359994</v>
      </c>
      <c r="W100" s="169">
        <f t="shared" si="34"/>
        <v>475.5253572403199</v>
      </c>
      <c r="X100" s="142" t="s">
        <v>140</v>
      </c>
    </row>
    <row r="101" spans="1:24" ht="15" customHeight="1">
      <c r="A101" s="155" t="s">
        <v>16</v>
      </c>
      <c r="B101" s="209">
        <v>0.1</v>
      </c>
      <c r="C101" s="227">
        <v>0.25</v>
      </c>
      <c r="D101" s="209">
        <f t="shared" si="31"/>
        <v>0.25</v>
      </c>
      <c r="E101" s="210">
        <f t="shared" si="32"/>
        <v>0.25</v>
      </c>
      <c r="F101" s="159">
        <f t="shared" si="22"/>
        <v>406.4212296387196</v>
      </c>
      <c r="G101" s="160">
        <f t="shared" si="22"/>
        <v>447.0633526025916</v>
      </c>
      <c r="H101" s="160">
        <f t="shared" si="22"/>
        <v>491.7696878628508</v>
      </c>
      <c r="I101" s="160">
        <f t="shared" si="22"/>
        <v>540.9466566491359</v>
      </c>
      <c r="J101" s="160">
        <f t="shared" si="22"/>
        <v>595.0413223140495</v>
      </c>
      <c r="K101" s="160">
        <f t="shared" si="22"/>
        <v>654.5454545454545</v>
      </c>
      <c r="L101" s="171">
        <v>720</v>
      </c>
      <c r="M101" s="160">
        <f aca="true" t="shared" si="35" ref="M101:P101">L101*(1+$C101)</f>
        <v>900</v>
      </c>
      <c r="N101" s="168">
        <f t="shared" si="35"/>
        <v>1125</v>
      </c>
      <c r="O101" s="168">
        <f t="shared" si="35"/>
        <v>1406.25</v>
      </c>
      <c r="P101" s="169">
        <f t="shared" si="35"/>
        <v>1757.8125</v>
      </c>
      <c r="Q101" s="170">
        <f t="shared" si="33"/>
        <v>2197.265625</v>
      </c>
      <c r="R101" s="169">
        <f t="shared" si="33"/>
        <v>2746.58203125</v>
      </c>
      <c r="S101" s="170">
        <f t="shared" si="34"/>
        <v>3433.2275390625</v>
      </c>
      <c r="T101" s="168">
        <f t="shared" si="34"/>
        <v>4291.534423828125</v>
      </c>
      <c r="U101" s="168">
        <f t="shared" si="34"/>
        <v>5364.418029785156</v>
      </c>
      <c r="V101" s="168">
        <f t="shared" si="34"/>
        <v>6705.522537231445</v>
      </c>
      <c r="W101" s="169">
        <f t="shared" si="34"/>
        <v>8381.903171539307</v>
      </c>
      <c r="X101" s="142" t="s">
        <v>141</v>
      </c>
    </row>
    <row r="102" spans="1:23" ht="15" customHeight="1">
      <c r="A102" s="197" t="s">
        <v>104</v>
      </c>
      <c r="B102" s="229"/>
      <c r="C102" s="230"/>
      <c r="D102" s="229"/>
      <c r="E102" s="230"/>
      <c r="F102" s="201">
        <f>SUM(F85:F101)</f>
        <v>17931.924268376297</v>
      </c>
      <c r="G102" s="202">
        <f aca="true" t="shared" si="36" ref="G102:W102">SUM(G85:G101)</f>
        <v>18041.81819173267</v>
      </c>
      <c r="H102" s="202">
        <f t="shared" si="36"/>
        <v>18463.276519207917</v>
      </c>
      <c r="I102" s="202">
        <f t="shared" si="36"/>
        <v>19218.4538604797</v>
      </c>
      <c r="J102" s="202">
        <f t="shared" si="36"/>
        <v>20344.133701100796</v>
      </c>
      <c r="K102" s="202">
        <f t="shared" si="36"/>
        <v>21895.633454080507</v>
      </c>
      <c r="L102" s="231">
        <f t="shared" si="36"/>
        <v>23953</v>
      </c>
      <c r="M102" s="202">
        <f t="shared" si="36"/>
        <v>26697.644999999997</v>
      </c>
      <c r="N102" s="203">
        <f t="shared" si="36"/>
        <v>30176.915154999995</v>
      </c>
      <c r="O102" s="203">
        <f t="shared" si="36"/>
        <v>34612.411690965</v>
      </c>
      <c r="P102" s="206">
        <f t="shared" si="36"/>
        <v>40315.29289735019</v>
      </c>
      <c r="Q102" s="205">
        <f t="shared" si="36"/>
        <v>47210.8631742932</v>
      </c>
      <c r="R102" s="206">
        <f t="shared" si="36"/>
        <v>55902.2222486789</v>
      </c>
      <c r="S102" s="205">
        <f t="shared" si="36"/>
        <v>66206.90409779217</v>
      </c>
      <c r="T102" s="203">
        <f t="shared" si="36"/>
        <v>79046.85101067396</v>
      </c>
      <c r="U102" s="203">
        <f t="shared" si="36"/>
        <v>95081.25816894669</v>
      </c>
      <c r="V102" s="203">
        <f t="shared" si="36"/>
        <v>115154.73653144979</v>
      </c>
      <c r="W102" s="206">
        <f t="shared" si="36"/>
        <v>140354.51060845124</v>
      </c>
    </row>
    <row r="103" spans="1:23" ht="15" customHeight="1">
      <c r="A103" s="236"/>
      <c r="B103" s="237"/>
      <c r="C103" s="237"/>
      <c r="D103" s="237"/>
      <c r="E103" s="237"/>
      <c r="F103" s="238"/>
      <c r="G103" s="238"/>
      <c r="H103" s="238"/>
      <c r="I103" s="238"/>
      <c r="J103" s="238"/>
      <c r="K103" s="238"/>
      <c r="L103" s="239"/>
      <c r="M103" s="238"/>
      <c r="N103" s="240"/>
      <c r="O103" s="240"/>
      <c r="P103" s="240"/>
      <c r="Q103" s="240"/>
      <c r="R103" s="240"/>
      <c r="S103" s="240"/>
      <c r="T103" s="240"/>
      <c r="U103" s="240"/>
      <c r="V103" s="240"/>
      <c r="W103" s="240"/>
    </row>
    <row r="104" spans="1:23" ht="30" customHeight="1">
      <c r="A104" s="232" t="s">
        <v>142</v>
      </c>
      <c r="B104" s="153" t="s">
        <v>354</v>
      </c>
      <c r="C104" s="154" t="s">
        <v>71</v>
      </c>
      <c r="D104" s="153" t="s">
        <v>72</v>
      </c>
      <c r="E104" s="154" t="s">
        <v>73</v>
      </c>
      <c r="F104" s="153">
        <v>2013</v>
      </c>
      <c r="G104" s="152">
        <v>2014</v>
      </c>
      <c r="H104" s="152">
        <v>2015</v>
      </c>
      <c r="I104" s="152">
        <v>2016</v>
      </c>
      <c r="J104" s="152">
        <v>2017</v>
      </c>
      <c r="K104" s="152">
        <v>2018</v>
      </c>
      <c r="L104" s="152">
        <v>2019</v>
      </c>
      <c r="M104" s="152">
        <v>2020</v>
      </c>
      <c r="N104" s="152">
        <v>2021</v>
      </c>
      <c r="O104" s="152">
        <v>2022</v>
      </c>
      <c r="P104" s="154">
        <v>2023</v>
      </c>
      <c r="Q104" s="153">
        <v>2024</v>
      </c>
      <c r="R104" s="154">
        <v>2025</v>
      </c>
      <c r="S104" s="153">
        <v>2026</v>
      </c>
      <c r="T104" s="152">
        <v>2027</v>
      </c>
      <c r="U104" s="152">
        <v>2028</v>
      </c>
      <c r="V104" s="152">
        <v>2029</v>
      </c>
      <c r="W104" s="154">
        <v>2030</v>
      </c>
    </row>
    <row r="105" spans="1:24" ht="22.75" customHeight="1">
      <c r="A105" s="155" t="s">
        <v>74</v>
      </c>
      <c r="B105" s="209">
        <v>0</v>
      </c>
      <c r="C105" s="210">
        <v>0</v>
      </c>
      <c r="D105" s="209">
        <f aca="true" t="shared" si="37" ref="D105:D144">C105</f>
        <v>0</v>
      </c>
      <c r="E105" s="210">
        <f aca="true" t="shared" si="38" ref="E105:E121">C105</f>
        <v>0</v>
      </c>
      <c r="F105" s="159">
        <f aca="true" t="shared" si="39" ref="F105:K121">G105/(1+$B105)</f>
        <v>130</v>
      </c>
      <c r="G105" s="160">
        <f t="shared" si="39"/>
        <v>130</v>
      </c>
      <c r="H105" s="160">
        <f t="shared" si="39"/>
        <v>130</v>
      </c>
      <c r="I105" s="160">
        <f t="shared" si="39"/>
        <v>130</v>
      </c>
      <c r="J105" s="160">
        <f t="shared" si="39"/>
        <v>130</v>
      </c>
      <c r="K105" s="160">
        <f t="shared" si="39"/>
        <v>130</v>
      </c>
      <c r="L105" s="171">
        <v>130</v>
      </c>
      <c r="M105" s="160">
        <f aca="true" t="shared" si="40" ref="M105:P130">(1+$C105)*L105</f>
        <v>130</v>
      </c>
      <c r="N105" s="160">
        <f t="shared" si="40"/>
        <v>130</v>
      </c>
      <c r="O105" s="168">
        <f t="shared" si="40"/>
        <v>130</v>
      </c>
      <c r="P105" s="169">
        <f t="shared" si="40"/>
        <v>130</v>
      </c>
      <c r="Q105" s="170">
        <f aca="true" t="shared" si="41" ref="Q105:R130">(1+$D105)*P105</f>
        <v>130</v>
      </c>
      <c r="R105" s="169">
        <f>(1+$D105)*Q105</f>
        <v>130</v>
      </c>
      <c r="S105" s="170">
        <f aca="true" t="shared" si="42" ref="S105:W130">(1+$E105)*R105</f>
        <v>130</v>
      </c>
      <c r="T105" s="168">
        <f aca="true" t="shared" si="43" ref="T105:W105">(1+$E105)*S105</f>
        <v>130</v>
      </c>
      <c r="U105" s="168">
        <f t="shared" si="43"/>
        <v>130</v>
      </c>
      <c r="V105" s="168">
        <f t="shared" si="43"/>
        <v>130</v>
      </c>
      <c r="W105" s="169">
        <f t="shared" si="43"/>
        <v>130</v>
      </c>
      <c r="X105" s="142" t="s">
        <v>109</v>
      </c>
    </row>
    <row r="106" spans="1:24" ht="15" customHeight="1">
      <c r="A106" s="155" t="s">
        <v>76</v>
      </c>
      <c r="B106" s="209">
        <v>0.03</v>
      </c>
      <c r="C106" s="210">
        <v>0.03</v>
      </c>
      <c r="D106" s="209">
        <f t="shared" si="37"/>
        <v>0.03</v>
      </c>
      <c r="E106" s="210">
        <f t="shared" si="38"/>
        <v>0.03</v>
      </c>
      <c r="F106" s="159">
        <f t="shared" si="39"/>
        <v>50.24905540101925</v>
      </c>
      <c r="G106" s="160">
        <f t="shared" si="39"/>
        <v>51.75652706304983</v>
      </c>
      <c r="H106" s="160">
        <f t="shared" si="39"/>
        <v>53.30922287494133</v>
      </c>
      <c r="I106" s="160">
        <f t="shared" si="39"/>
        <v>54.908499561189565</v>
      </c>
      <c r="J106" s="160">
        <f t="shared" si="39"/>
        <v>56.555754548025256</v>
      </c>
      <c r="K106" s="160">
        <f t="shared" si="39"/>
        <v>58.252427184466015</v>
      </c>
      <c r="L106" s="190">
        <v>60</v>
      </c>
      <c r="M106" s="160">
        <v>70</v>
      </c>
      <c r="N106" s="160">
        <v>70</v>
      </c>
      <c r="O106" s="168">
        <f>(1+$C106)*N106</f>
        <v>72.10000000000001</v>
      </c>
      <c r="P106" s="169">
        <f t="shared" si="40"/>
        <v>74.263</v>
      </c>
      <c r="Q106" s="170">
        <f t="shared" si="41"/>
        <v>76.49089000000001</v>
      </c>
      <c r="R106" s="169">
        <f t="shared" si="41"/>
        <v>78.7856167</v>
      </c>
      <c r="S106" s="170">
        <f t="shared" si="42"/>
        <v>81.14918520100001</v>
      </c>
      <c r="T106" s="168">
        <f t="shared" si="42"/>
        <v>83.58366075703002</v>
      </c>
      <c r="U106" s="168">
        <f t="shared" si="42"/>
        <v>86.09117057974092</v>
      </c>
      <c r="V106" s="168">
        <f t="shared" si="42"/>
        <v>88.67390569713315</v>
      </c>
      <c r="W106" s="169">
        <f t="shared" si="42"/>
        <v>91.33412286804715</v>
      </c>
      <c r="X106" s="142" t="s">
        <v>109</v>
      </c>
    </row>
    <row r="107" spans="1:24" ht="15" customHeight="1">
      <c r="A107" s="155" t="s">
        <v>78</v>
      </c>
      <c r="B107" s="209">
        <v>0</v>
      </c>
      <c r="C107" s="210">
        <v>0</v>
      </c>
      <c r="D107" s="209">
        <f t="shared" si="37"/>
        <v>0</v>
      </c>
      <c r="E107" s="210">
        <f t="shared" si="38"/>
        <v>0</v>
      </c>
      <c r="F107" s="159">
        <f t="shared" si="39"/>
        <v>56</v>
      </c>
      <c r="G107" s="160">
        <f t="shared" si="39"/>
        <v>56</v>
      </c>
      <c r="H107" s="160">
        <f t="shared" si="39"/>
        <v>56</v>
      </c>
      <c r="I107" s="160">
        <f t="shared" si="39"/>
        <v>56</v>
      </c>
      <c r="J107" s="160">
        <f t="shared" si="39"/>
        <v>56</v>
      </c>
      <c r="K107" s="160">
        <f t="shared" si="39"/>
        <v>56</v>
      </c>
      <c r="L107" s="171">
        <v>56</v>
      </c>
      <c r="M107" s="160">
        <f t="shared" si="40"/>
        <v>56</v>
      </c>
      <c r="N107" s="160">
        <f t="shared" si="40"/>
        <v>56</v>
      </c>
      <c r="O107" s="168">
        <f t="shared" si="40"/>
        <v>56</v>
      </c>
      <c r="P107" s="169">
        <f t="shared" si="40"/>
        <v>56</v>
      </c>
      <c r="Q107" s="170">
        <f t="shared" si="41"/>
        <v>56</v>
      </c>
      <c r="R107" s="169">
        <f t="shared" si="41"/>
        <v>56</v>
      </c>
      <c r="S107" s="170">
        <f t="shared" si="42"/>
        <v>56</v>
      </c>
      <c r="T107" s="168">
        <f t="shared" si="42"/>
        <v>56</v>
      </c>
      <c r="U107" s="168">
        <f t="shared" si="42"/>
        <v>56</v>
      </c>
      <c r="V107" s="168">
        <f t="shared" si="42"/>
        <v>56</v>
      </c>
      <c r="W107" s="169">
        <f t="shared" si="42"/>
        <v>56</v>
      </c>
      <c r="X107" s="142" t="s">
        <v>143</v>
      </c>
    </row>
    <row r="108" spans="1:24" ht="15" customHeight="1">
      <c r="A108" s="155" t="s">
        <v>79</v>
      </c>
      <c r="B108" s="209">
        <v>0</v>
      </c>
      <c r="C108" s="210">
        <v>0</v>
      </c>
      <c r="D108" s="209">
        <f t="shared" si="37"/>
        <v>0</v>
      </c>
      <c r="E108" s="210">
        <f t="shared" si="38"/>
        <v>0</v>
      </c>
      <c r="F108" s="159">
        <f t="shared" si="39"/>
        <v>55</v>
      </c>
      <c r="G108" s="160">
        <f t="shared" si="39"/>
        <v>55</v>
      </c>
      <c r="H108" s="160">
        <f t="shared" si="39"/>
        <v>55</v>
      </c>
      <c r="I108" s="160">
        <f t="shared" si="39"/>
        <v>55</v>
      </c>
      <c r="J108" s="160">
        <f t="shared" si="39"/>
        <v>55</v>
      </c>
      <c r="K108" s="160">
        <f t="shared" si="39"/>
        <v>55</v>
      </c>
      <c r="L108" s="171">
        <v>55</v>
      </c>
      <c r="M108" s="160">
        <f t="shared" si="40"/>
        <v>55</v>
      </c>
      <c r="N108" s="160">
        <f t="shared" si="40"/>
        <v>55</v>
      </c>
      <c r="O108" s="168">
        <f t="shared" si="40"/>
        <v>55</v>
      </c>
      <c r="P108" s="169">
        <f t="shared" si="40"/>
        <v>55</v>
      </c>
      <c r="Q108" s="170">
        <f t="shared" si="41"/>
        <v>55</v>
      </c>
      <c r="R108" s="169">
        <f t="shared" si="41"/>
        <v>55</v>
      </c>
      <c r="S108" s="170">
        <f t="shared" si="42"/>
        <v>55</v>
      </c>
      <c r="T108" s="168">
        <f t="shared" si="42"/>
        <v>55</v>
      </c>
      <c r="U108" s="168">
        <f t="shared" si="42"/>
        <v>55</v>
      </c>
      <c r="V108" s="168">
        <f t="shared" si="42"/>
        <v>55</v>
      </c>
      <c r="W108" s="169">
        <f t="shared" si="42"/>
        <v>55</v>
      </c>
      <c r="X108" s="142" t="s">
        <v>144</v>
      </c>
    </row>
    <row r="109" spans="1:24" ht="15" customHeight="1">
      <c r="A109" s="155" t="s">
        <v>81</v>
      </c>
      <c r="B109" s="209">
        <v>-0.03</v>
      </c>
      <c r="C109" s="210">
        <v>-0.03</v>
      </c>
      <c r="D109" s="209">
        <f t="shared" si="37"/>
        <v>-0.03</v>
      </c>
      <c r="E109" s="210">
        <f t="shared" si="38"/>
        <v>-0.03</v>
      </c>
      <c r="F109" s="159">
        <f t="shared" si="39"/>
        <v>168.07287540465802</v>
      </c>
      <c r="G109" s="160">
        <f t="shared" si="39"/>
        <v>163.03068914251827</v>
      </c>
      <c r="H109" s="168">
        <f t="shared" si="39"/>
        <v>158.13976846824272</v>
      </c>
      <c r="I109" s="168">
        <f t="shared" si="39"/>
        <v>153.39557541419543</v>
      </c>
      <c r="J109" s="160">
        <f t="shared" si="39"/>
        <v>148.79370815176958</v>
      </c>
      <c r="K109" s="160">
        <f t="shared" si="39"/>
        <v>144.3298969072165</v>
      </c>
      <c r="L109" s="171">
        <v>140</v>
      </c>
      <c r="M109" s="160">
        <f t="shared" si="40"/>
        <v>135.79999999999998</v>
      </c>
      <c r="N109" s="160">
        <f t="shared" si="40"/>
        <v>131.72599999999997</v>
      </c>
      <c r="O109" s="168">
        <f t="shared" si="40"/>
        <v>127.77421999999997</v>
      </c>
      <c r="P109" s="169">
        <f t="shared" si="40"/>
        <v>123.94099339999997</v>
      </c>
      <c r="Q109" s="170">
        <f t="shared" si="41"/>
        <v>120.22276359799997</v>
      </c>
      <c r="R109" s="169">
        <f t="shared" si="41"/>
        <v>116.61608069005997</v>
      </c>
      <c r="S109" s="170">
        <f t="shared" si="42"/>
        <v>113.11759826935817</v>
      </c>
      <c r="T109" s="168">
        <f t="shared" si="42"/>
        <v>109.72407032127742</v>
      </c>
      <c r="U109" s="168">
        <f t="shared" si="42"/>
        <v>106.4323482116391</v>
      </c>
      <c r="V109" s="168">
        <f t="shared" si="42"/>
        <v>103.23937776528992</v>
      </c>
      <c r="W109" s="169">
        <f t="shared" si="42"/>
        <v>100.14219643233122</v>
      </c>
      <c r="X109" s="142" t="s">
        <v>145</v>
      </c>
    </row>
    <row r="110" spans="1:24" ht="15" customHeight="1">
      <c r="A110" s="155" t="s">
        <v>30</v>
      </c>
      <c r="B110" s="209">
        <v>0.1</v>
      </c>
      <c r="C110" s="210">
        <v>0.07</v>
      </c>
      <c r="D110" s="209">
        <f t="shared" si="37"/>
        <v>0.07</v>
      </c>
      <c r="E110" s="210">
        <f t="shared" si="38"/>
        <v>0.07</v>
      </c>
      <c r="F110" s="159">
        <f t="shared" si="39"/>
        <v>2.822369650268886</v>
      </c>
      <c r="G110" s="160">
        <f t="shared" si="39"/>
        <v>3.1046066152957748</v>
      </c>
      <c r="H110" s="160">
        <f t="shared" si="39"/>
        <v>3.4150672768253525</v>
      </c>
      <c r="I110" s="160">
        <f t="shared" si="39"/>
        <v>3.756574004507888</v>
      </c>
      <c r="J110" s="160">
        <f t="shared" si="39"/>
        <v>4.132231404958677</v>
      </c>
      <c r="K110" s="160">
        <f t="shared" si="39"/>
        <v>4.545454545454545</v>
      </c>
      <c r="L110" s="190">
        <v>5</v>
      </c>
      <c r="M110" s="160">
        <f t="shared" si="40"/>
        <v>5.3500000000000005</v>
      </c>
      <c r="N110" s="160">
        <f t="shared" si="40"/>
        <v>5.724500000000001</v>
      </c>
      <c r="O110" s="168">
        <f t="shared" si="40"/>
        <v>6.125215000000002</v>
      </c>
      <c r="P110" s="169">
        <f t="shared" si="40"/>
        <v>6.5539800500000025</v>
      </c>
      <c r="Q110" s="170">
        <f t="shared" si="41"/>
        <v>7.012758653500003</v>
      </c>
      <c r="R110" s="169">
        <f t="shared" si="41"/>
        <v>7.503651759245004</v>
      </c>
      <c r="S110" s="170">
        <f t="shared" si="42"/>
        <v>8.028907382392156</v>
      </c>
      <c r="T110" s="168">
        <f t="shared" si="42"/>
        <v>8.590930899159607</v>
      </c>
      <c r="U110" s="168">
        <f t="shared" si="42"/>
        <v>9.19229606210078</v>
      </c>
      <c r="V110" s="168">
        <f t="shared" si="42"/>
        <v>9.835756786447835</v>
      </c>
      <c r="W110" s="169">
        <f t="shared" si="42"/>
        <v>10.524259761499184</v>
      </c>
      <c r="X110" s="142" t="s">
        <v>146</v>
      </c>
    </row>
    <row r="111" spans="1:24" ht="15" customHeight="1">
      <c r="A111" s="155" t="s">
        <v>84</v>
      </c>
      <c r="B111" s="209">
        <v>0</v>
      </c>
      <c r="C111" s="210">
        <v>0</v>
      </c>
      <c r="D111" s="209">
        <f t="shared" si="37"/>
        <v>0</v>
      </c>
      <c r="E111" s="210">
        <f t="shared" si="38"/>
        <v>0</v>
      </c>
      <c r="F111" s="159">
        <f t="shared" si="39"/>
        <v>12</v>
      </c>
      <c r="G111" s="160">
        <f t="shared" si="39"/>
        <v>12</v>
      </c>
      <c r="H111" s="160">
        <f t="shared" si="39"/>
        <v>12</v>
      </c>
      <c r="I111" s="160">
        <f t="shared" si="39"/>
        <v>12</v>
      </c>
      <c r="J111" s="160">
        <f t="shared" si="39"/>
        <v>12</v>
      </c>
      <c r="K111" s="160">
        <f t="shared" si="39"/>
        <v>12</v>
      </c>
      <c r="L111" s="190">
        <v>12</v>
      </c>
      <c r="M111" s="160">
        <f t="shared" si="40"/>
        <v>12</v>
      </c>
      <c r="N111" s="160">
        <f t="shared" si="40"/>
        <v>12</v>
      </c>
      <c r="O111" s="168">
        <f t="shared" si="40"/>
        <v>12</v>
      </c>
      <c r="P111" s="169">
        <f t="shared" si="40"/>
        <v>12</v>
      </c>
      <c r="Q111" s="170">
        <f t="shared" si="41"/>
        <v>12</v>
      </c>
      <c r="R111" s="169">
        <f t="shared" si="41"/>
        <v>12</v>
      </c>
      <c r="S111" s="170">
        <f t="shared" si="42"/>
        <v>12</v>
      </c>
      <c r="T111" s="168">
        <f t="shared" si="42"/>
        <v>12</v>
      </c>
      <c r="U111" s="168">
        <f t="shared" si="42"/>
        <v>12</v>
      </c>
      <c r="V111" s="168">
        <f t="shared" si="42"/>
        <v>12</v>
      </c>
      <c r="W111" s="169">
        <f t="shared" si="42"/>
        <v>12</v>
      </c>
      <c r="X111" s="142" t="s">
        <v>147</v>
      </c>
    </row>
    <row r="112" spans="1:24" ht="15" customHeight="1">
      <c r="A112" s="155" t="s">
        <v>86</v>
      </c>
      <c r="B112" s="209">
        <v>0</v>
      </c>
      <c r="C112" s="210">
        <v>0</v>
      </c>
      <c r="D112" s="209">
        <f t="shared" si="37"/>
        <v>0</v>
      </c>
      <c r="E112" s="210">
        <f t="shared" si="38"/>
        <v>0</v>
      </c>
      <c r="F112" s="159">
        <f t="shared" si="39"/>
        <v>1</v>
      </c>
      <c r="G112" s="160">
        <f t="shared" si="39"/>
        <v>1</v>
      </c>
      <c r="H112" s="160">
        <f t="shared" si="39"/>
        <v>1</v>
      </c>
      <c r="I112" s="160">
        <f t="shared" si="39"/>
        <v>1</v>
      </c>
      <c r="J112" s="160">
        <f t="shared" si="39"/>
        <v>1</v>
      </c>
      <c r="K112" s="160">
        <f t="shared" si="39"/>
        <v>1</v>
      </c>
      <c r="L112" s="171">
        <v>1</v>
      </c>
      <c r="M112" s="160">
        <f t="shared" si="40"/>
        <v>1</v>
      </c>
      <c r="N112" s="160">
        <f t="shared" si="40"/>
        <v>1</v>
      </c>
      <c r="O112" s="168">
        <f t="shared" si="40"/>
        <v>1</v>
      </c>
      <c r="P112" s="169">
        <f t="shared" si="40"/>
        <v>1</v>
      </c>
      <c r="Q112" s="170">
        <f t="shared" si="41"/>
        <v>1</v>
      </c>
      <c r="R112" s="169">
        <f t="shared" si="41"/>
        <v>1</v>
      </c>
      <c r="S112" s="170">
        <f t="shared" si="42"/>
        <v>1</v>
      </c>
      <c r="T112" s="168">
        <f t="shared" si="42"/>
        <v>1</v>
      </c>
      <c r="U112" s="168">
        <f t="shared" si="42"/>
        <v>1</v>
      </c>
      <c r="V112" s="168">
        <f t="shared" si="42"/>
        <v>1</v>
      </c>
      <c r="W112" s="169">
        <f t="shared" si="42"/>
        <v>1</v>
      </c>
      <c r="X112" s="142" t="s">
        <v>148</v>
      </c>
    </row>
    <row r="113" spans="1:23" ht="15" customHeight="1">
      <c r="A113" s="212" t="s">
        <v>88</v>
      </c>
      <c r="B113" s="209">
        <v>0</v>
      </c>
      <c r="C113" s="210">
        <v>-0.05</v>
      </c>
      <c r="D113" s="209">
        <f t="shared" si="37"/>
        <v>-0.05</v>
      </c>
      <c r="E113" s="210">
        <f t="shared" si="38"/>
        <v>-0.05</v>
      </c>
      <c r="F113" s="159">
        <f t="shared" si="39"/>
        <v>8.76</v>
      </c>
      <c r="G113" s="160">
        <f t="shared" si="39"/>
        <v>8.76</v>
      </c>
      <c r="H113" s="168">
        <f t="shared" si="39"/>
        <v>8.76</v>
      </c>
      <c r="I113" s="168">
        <f t="shared" si="39"/>
        <v>8.76</v>
      </c>
      <c r="J113" s="168">
        <f t="shared" si="39"/>
        <v>8.76</v>
      </c>
      <c r="K113" s="168">
        <f t="shared" si="39"/>
        <v>8.76</v>
      </c>
      <c r="L113" s="171">
        <f>1*24*365/1000</f>
        <v>8.76</v>
      </c>
      <c r="M113" s="168">
        <f t="shared" si="40"/>
        <v>8.322</v>
      </c>
      <c r="N113" s="160">
        <f t="shared" si="40"/>
        <v>7.905899999999999</v>
      </c>
      <c r="O113" s="168">
        <f t="shared" si="40"/>
        <v>7.510604999999999</v>
      </c>
      <c r="P113" s="169">
        <f t="shared" si="40"/>
        <v>7.1350747499999985</v>
      </c>
      <c r="Q113" s="170">
        <f t="shared" si="41"/>
        <v>6.778321012499998</v>
      </c>
      <c r="R113" s="169">
        <f t="shared" si="41"/>
        <v>6.439404961874998</v>
      </c>
      <c r="S113" s="170">
        <f t="shared" si="42"/>
        <v>6.117434713781248</v>
      </c>
      <c r="T113" s="168">
        <f t="shared" si="42"/>
        <v>5.811562978092185</v>
      </c>
      <c r="U113" s="168">
        <f t="shared" si="42"/>
        <v>5.520984829187576</v>
      </c>
      <c r="V113" s="168">
        <f t="shared" si="42"/>
        <v>5.244935587728197</v>
      </c>
      <c r="W113" s="169">
        <f t="shared" si="42"/>
        <v>4.982688808341787</v>
      </c>
    </row>
    <row r="114" spans="1:24" ht="15" customHeight="1">
      <c r="A114" s="155" t="s">
        <v>90</v>
      </c>
      <c r="B114" s="209">
        <v>-0.02</v>
      </c>
      <c r="C114" s="210">
        <v>0.03</v>
      </c>
      <c r="D114" s="209">
        <f t="shared" si="37"/>
        <v>0.03</v>
      </c>
      <c r="E114" s="210">
        <f t="shared" si="38"/>
        <v>0.03</v>
      </c>
      <c r="F114" s="159">
        <f t="shared" si="39"/>
        <v>242.70683435838927</v>
      </c>
      <c r="G114" s="160">
        <f t="shared" si="39"/>
        <v>237.85269767122148</v>
      </c>
      <c r="H114" s="160">
        <f t="shared" si="39"/>
        <v>233.09564371779703</v>
      </c>
      <c r="I114" s="193">
        <f t="shared" si="39"/>
        <v>228.43373084344108</v>
      </c>
      <c r="J114" s="193">
        <f t="shared" si="39"/>
        <v>223.86505622657225</v>
      </c>
      <c r="K114" s="193">
        <f>L114/(1+$B114)</f>
        <v>219.3877551020408</v>
      </c>
      <c r="L114" s="190">
        <v>215</v>
      </c>
      <c r="M114" s="160">
        <f t="shared" si="40"/>
        <v>221.45000000000002</v>
      </c>
      <c r="N114" s="160">
        <f t="shared" si="40"/>
        <v>228.09350000000003</v>
      </c>
      <c r="O114" s="168">
        <f>(1+$C114)*N114</f>
        <v>234.93630500000003</v>
      </c>
      <c r="P114" s="169">
        <f t="shared" si="40"/>
        <v>241.98439415000004</v>
      </c>
      <c r="Q114" s="170">
        <f t="shared" si="41"/>
        <v>249.24392597450006</v>
      </c>
      <c r="R114" s="169">
        <f t="shared" si="41"/>
        <v>256.72124375373505</v>
      </c>
      <c r="S114" s="170">
        <f t="shared" si="42"/>
        <v>264.4228810663471</v>
      </c>
      <c r="T114" s="168">
        <f t="shared" si="42"/>
        <v>272.3555674983375</v>
      </c>
      <c r="U114" s="168">
        <f t="shared" si="42"/>
        <v>280.52623452328766</v>
      </c>
      <c r="V114" s="168">
        <f t="shared" si="42"/>
        <v>288.9420215589863</v>
      </c>
      <c r="W114" s="169">
        <f t="shared" si="42"/>
        <v>297.61028220575594</v>
      </c>
      <c r="X114" s="142" t="s">
        <v>149</v>
      </c>
    </row>
    <row r="115" spans="1:24" ht="15" customHeight="1">
      <c r="A115" s="155" t="s">
        <v>92</v>
      </c>
      <c r="B115" s="209">
        <v>0</v>
      </c>
      <c r="C115" s="210">
        <v>0</v>
      </c>
      <c r="D115" s="209">
        <f t="shared" si="37"/>
        <v>0</v>
      </c>
      <c r="E115" s="210">
        <f t="shared" si="38"/>
        <v>0</v>
      </c>
      <c r="F115" s="159">
        <f t="shared" si="39"/>
        <v>40</v>
      </c>
      <c r="G115" s="160">
        <f t="shared" si="39"/>
        <v>40</v>
      </c>
      <c r="H115" s="160">
        <f t="shared" si="39"/>
        <v>40</v>
      </c>
      <c r="I115" s="160">
        <f t="shared" si="39"/>
        <v>40</v>
      </c>
      <c r="J115" s="160">
        <f t="shared" si="39"/>
        <v>40</v>
      </c>
      <c r="K115" s="160">
        <f t="shared" si="39"/>
        <v>40</v>
      </c>
      <c r="L115" s="171">
        <v>40</v>
      </c>
      <c r="M115" s="160">
        <f t="shared" si="40"/>
        <v>40</v>
      </c>
      <c r="N115" s="160">
        <f t="shared" si="40"/>
        <v>40</v>
      </c>
      <c r="O115" s="168">
        <f t="shared" si="40"/>
        <v>40</v>
      </c>
      <c r="P115" s="169">
        <f t="shared" si="40"/>
        <v>40</v>
      </c>
      <c r="Q115" s="170">
        <f t="shared" si="41"/>
        <v>40</v>
      </c>
      <c r="R115" s="169">
        <f t="shared" si="41"/>
        <v>40</v>
      </c>
      <c r="S115" s="170">
        <f t="shared" si="42"/>
        <v>40</v>
      </c>
      <c r="T115" s="168">
        <f t="shared" si="42"/>
        <v>40</v>
      </c>
      <c r="U115" s="168">
        <f t="shared" si="42"/>
        <v>40</v>
      </c>
      <c r="V115" s="168">
        <f t="shared" si="42"/>
        <v>40</v>
      </c>
      <c r="W115" s="169">
        <f t="shared" si="42"/>
        <v>40</v>
      </c>
      <c r="X115" s="142" t="s">
        <v>150</v>
      </c>
    </row>
    <row r="116" spans="1:24" ht="15" customHeight="1">
      <c r="A116" s="155" t="s">
        <v>94</v>
      </c>
      <c r="B116" s="209">
        <v>0</v>
      </c>
      <c r="C116" s="210">
        <v>0</v>
      </c>
      <c r="D116" s="209">
        <f t="shared" si="37"/>
        <v>0</v>
      </c>
      <c r="E116" s="210">
        <f t="shared" si="38"/>
        <v>0</v>
      </c>
      <c r="F116" s="159">
        <f t="shared" si="39"/>
        <v>170</v>
      </c>
      <c r="G116" s="160">
        <f t="shared" si="39"/>
        <v>170</v>
      </c>
      <c r="H116" s="160">
        <f t="shared" si="39"/>
        <v>170</v>
      </c>
      <c r="I116" s="160">
        <f t="shared" si="39"/>
        <v>170</v>
      </c>
      <c r="J116" s="160">
        <f t="shared" si="39"/>
        <v>170</v>
      </c>
      <c r="K116" s="160">
        <f t="shared" si="39"/>
        <v>170</v>
      </c>
      <c r="L116" s="171">
        <v>170</v>
      </c>
      <c r="M116" s="160">
        <f t="shared" si="40"/>
        <v>170</v>
      </c>
      <c r="N116" s="160">
        <f t="shared" si="40"/>
        <v>170</v>
      </c>
      <c r="O116" s="168">
        <f t="shared" si="40"/>
        <v>170</v>
      </c>
      <c r="P116" s="169">
        <f t="shared" si="40"/>
        <v>170</v>
      </c>
      <c r="Q116" s="170">
        <f t="shared" si="41"/>
        <v>170</v>
      </c>
      <c r="R116" s="169">
        <f t="shared" si="41"/>
        <v>170</v>
      </c>
      <c r="S116" s="170">
        <f t="shared" si="42"/>
        <v>170</v>
      </c>
      <c r="T116" s="168">
        <f t="shared" si="42"/>
        <v>170</v>
      </c>
      <c r="U116" s="168">
        <f t="shared" si="42"/>
        <v>170</v>
      </c>
      <c r="V116" s="168">
        <f t="shared" si="42"/>
        <v>170</v>
      </c>
      <c r="W116" s="169">
        <f t="shared" si="42"/>
        <v>170</v>
      </c>
      <c r="X116" s="142" t="s">
        <v>151</v>
      </c>
    </row>
    <row r="117" spans="1:24" ht="15" customHeight="1">
      <c r="A117" s="155" t="s">
        <v>96</v>
      </c>
      <c r="B117" s="209">
        <v>0</v>
      </c>
      <c r="C117" s="210">
        <v>0</v>
      </c>
      <c r="D117" s="209">
        <f t="shared" si="37"/>
        <v>0</v>
      </c>
      <c r="E117" s="210">
        <f t="shared" si="38"/>
        <v>0</v>
      </c>
      <c r="F117" s="159">
        <f t="shared" si="39"/>
        <v>8</v>
      </c>
      <c r="G117" s="160">
        <f t="shared" si="39"/>
        <v>8</v>
      </c>
      <c r="H117" s="160">
        <f t="shared" si="39"/>
        <v>8</v>
      </c>
      <c r="I117" s="160">
        <f t="shared" si="39"/>
        <v>8</v>
      </c>
      <c r="J117" s="160">
        <f t="shared" si="39"/>
        <v>8</v>
      </c>
      <c r="K117" s="160">
        <f t="shared" si="39"/>
        <v>8</v>
      </c>
      <c r="L117" s="171">
        <v>8</v>
      </c>
      <c r="M117" s="160">
        <f t="shared" si="40"/>
        <v>8</v>
      </c>
      <c r="N117" s="160">
        <f t="shared" si="40"/>
        <v>8</v>
      </c>
      <c r="O117" s="168">
        <f t="shared" si="40"/>
        <v>8</v>
      </c>
      <c r="P117" s="169">
        <f t="shared" si="40"/>
        <v>8</v>
      </c>
      <c r="Q117" s="170">
        <f t="shared" si="41"/>
        <v>8</v>
      </c>
      <c r="R117" s="169">
        <f t="shared" si="41"/>
        <v>8</v>
      </c>
      <c r="S117" s="170">
        <f t="shared" si="42"/>
        <v>8</v>
      </c>
      <c r="T117" s="168">
        <f t="shared" si="42"/>
        <v>8</v>
      </c>
      <c r="U117" s="168">
        <f t="shared" si="42"/>
        <v>8</v>
      </c>
      <c r="V117" s="168">
        <f t="shared" si="42"/>
        <v>8</v>
      </c>
      <c r="W117" s="169">
        <f t="shared" si="42"/>
        <v>8</v>
      </c>
      <c r="X117" s="142" t="s">
        <v>152</v>
      </c>
    </row>
    <row r="118" spans="1:24" ht="15" customHeight="1">
      <c r="A118" s="155" t="s">
        <v>5</v>
      </c>
      <c r="B118" s="209">
        <v>0</v>
      </c>
      <c r="C118" s="210">
        <v>0.02</v>
      </c>
      <c r="D118" s="209">
        <f t="shared" si="37"/>
        <v>0.02</v>
      </c>
      <c r="E118" s="210">
        <f t="shared" si="38"/>
        <v>0.02</v>
      </c>
      <c r="F118" s="159">
        <f t="shared" si="39"/>
        <v>2</v>
      </c>
      <c r="G118" s="160">
        <f t="shared" si="39"/>
        <v>2</v>
      </c>
      <c r="H118" s="160">
        <f t="shared" si="39"/>
        <v>2</v>
      </c>
      <c r="I118" s="160">
        <f t="shared" si="39"/>
        <v>2</v>
      </c>
      <c r="J118" s="160">
        <f t="shared" si="39"/>
        <v>2</v>
      </c>
      <c r="K118" s="160">
        <f t="shared" si="39"/>
        <v>2</v>
      </c>
      <c r="L118" s="171">
        <v>2</v>
      </c>
      <c r="M118" s="160">
        <f t="shared" si="40"/>
        <v>2.04</v>
      </c>
      <c r="N118" s="168">
        <f t="shared" si="40"/>
        <v>2.0808</v>
      </c>
      <c r="O118" s="168">
        <f t="shared" si="40"/>
        <v>2.122416</v>
      </c>
      <c r="P118" s="169">
        <f t="shared" si="40"/>
        <v>2.16486432</v>
      </c>
      <c r="Q118" s="170">
        <f t="shared" si="41"/>
        <v>2.2081616064</v>
      </c>
      <c r="R118" s="169">
        <f t="shared" si="41"/>
        <v>2.252324838528</v>
      </c>
      <c r="S118" s="170">
        <f t="shared" si="42"/>
        <v>2.29737133529856</v>
      </c>
      <c r="T118" s="168">
        <f t="shared" si="42"/>
        <v>2.3433187620045315</v>
      </c>
      <c r="U118" s="168">
        <f t="shared" si="42"/>
        <v>2.390185137244622</v>
      </c>
      <c r="V118" s="168">
        <f t="shared" si="42"/>
        <v>2.4379888399895147</v>
      </c>
      <c r="W118" s="169">
        <f t="shared" si="42"/>
        <v>2.486748616789305</v>
      </c>
      <c r="X118" s="142" t="s">
        <v>153</v>
      </c>
    </row>
    <row r="119" spans="1:24" ht="15" customHeight="1">
      <c r="A119" s="155" t="s">
        <v>33</v>
      </c>
      <c r="B119" s="209">
        <v>0</v>
      </c>
      <c r="C119" s="210">
        <v>0.02</v>
      </c>
      <c r="D119" s="209">
        <f t="shared" si="37"/>
        <v>0.02</v>
      </c>
      <c r="E119" s="210">
        <f t="shared" si="38"/>
        <v>0.02</v>
      </c>
      <c r="F119" s="159">
        <f t="shared" si="39"/>
        <v>44</v>
      </c>
      <c r="G119" s="160">
        <f t="shared" si="39"/>
        <v>44</v>
      </c>
      <c r="H119" s="160">
        <f t="shared" si="39"/>
        <v>44</v>
      </c>
      <c r="I119" s="160">
        <f t="shared" si="39"/>
        <v>44</v>
      </c>
      <c r="J119" s="160">
        <f t="shared" si="39"/>
        <v>44</v>
      </c>
      <c r="K119" s="160">
        <f t="shared" si="39"/>
        <v>44</v>
      </c>
      <c r="L119" s="171">
        <v>44</v>
      </c>
      <c r="M119" s="160">
        <f t="shared" si="40"/>
        <v>44.88</v>
      </c>
      <c r="N119" s="168">
        <f t="shared" si="40"/>
        <v>45.77760000000001</v>
      </c>
      <c r="O119" s="168">
        <f t="shared" si="40"/>
        <v>46.693152000000005</v>
      </c>
      <c r="P119" s="169">
        <f t="shared" si="40"/>
        <v>47.62701504</v>
      </c>
      <c r="Q119" s="170">
        <f t="shared" si="41"/>
        <v>48.579555340800006</v>
      </c>
      <c r="R119" s="169">
        <f t="shared" si="41"/>
        <v>49.551146447616006</v>
      </c>
      <c r="S119" s="170">
        <f t="shared" si="42"/>
        <v>50.542169376568324</v>
      </c>
      <c r="T119" s="168">
        <f t="shared" si="42"/>
        <v>51.55301276409969</v>
      </c>
      <c r="U119" s="168">
        <f t="shared" si="42"/>
        <v>52.584073019381684</v>
      </c>
      <c r="V119" s="168">
        <f t="shared" si="42"/>
        <v>53.63575447976932</v>
      </c>
      <c r="W119" s="169">
        <f t="shared" si="42"/>
        <v>54.7084695693647</v>
      </c>
      <c r="X119" s="142" t="s">
        <v>154</v>
      </c>
    </row>
    <row r="120" spans="1:24" ht="15" customHeight="1">
      <c r="A120" s="155" t="s">
        <v>101</v>
      </c>
      <c r="B120" s="209">
        <v>0.03</v>
      </c>
      <c r="C120" s="210">
        <v>0.03</v>
      </c>
      <c r="D120" s="209">
        <f t="shared" si="37"/>
        <v>0.03</v>
      </c>
      <c r="E120" s="210">
        <f t="shared" si="38"/>
        <v>0.03</v>
      </c>
      <c r="F120" s="159">
        <f t="shared" si="39"/>
        <v>1256.2263850254812</v>
      </c>
      <c r="G120" s="160">
        <f t="shared" si="39"/>
        <v>1293.9131765762456</v>
      </c>
      <c r="H120" s="160">
        <f t="shared" si="39"/>
        <v>1332.730571873533</v>
      </c>
      <c r="I120" s="160">
        <f t="shared" si="39"/>
        <v>1372.7124890297391</v>
      </c>
      <c r="J120" s="160">
        <f t="shared" si="39"/>
        <v>1413.8938637006313</v>
      </c>
      <c r="K120" s="160">
        <f t="shared" si="39"/>
        <v>1456.3106796116504</v>
      </c>
      <c r="L120" s="171">
        <v>1500</v>
      </c>
      <c r="M120" s="160">
        <f t="shared" si="40"/>
        <v>1545</v>
      </c>
      <c r="N120" s="168">
        <f t="shared" si="40"/>
        <v>1591.3500000000001</v>
      </c>
      <c r="O120" s="168">
        <f t="shared" si="40"/>
        <v>1639.0905000000002</v>
      </c>
      <c r="P120" s="169">
        <f t="shared" si="40"/>
        <v>1688.2632150000004</v>
      </c>
      <c r="Q120" s="170">
        <f t="shared" si="41"/>
        <v>1738.9111114500004</v>
      </c>
      <c r="R120" s="169">
        <f t="shared" si="41"/>
        <v>1791.0784447935005</v>
      </c>
      <c r="S120" s="170">
        <f t="shared" si="42"/>
        <v>1844.8107981373055</v>
      </c>
      <c r="T120" s="168">
        <f t="shared" si="42"/>
        <v>1900.1551220814247</v>
      </c>
      <c r="U120" s="168">
        <f t="shared" si="42"/>
        <v>1957.1597757438674</v>
      </c>
      <c r="V120" s="168">
        <f t="shared" si="42"/>
        <v>2015.8745690161834</v>
      </c>
      <c r="W120" s="169">
        <f t="shared" si="42"/>
        <v>2076.350806086669</v>
      </c>
      <c r="X120" s="142" t="s">
        <v>150</v>
      </c>
    </row>
    <row r="121" spans="1:24" ht="15" customHeight="1">
      <c r="A121" s="178" t="s">
        <v>16</v>
      </c>
      <c r="B121" s="217">
        <v>0</v>
      </c>
      <c r="C121" s="218">
        <v>0</v>
      </c>
      <c r="D121" s="217">
        <f t="shared" si="37"/>
        <v>0</v>
      </c>
      <c r="E121" s="218">
        <f t="shared" si="38"/>
        <v>0</v>
      </c>
      <c r="F121" s="219">
        <f t="shared" si="39"/>
        <v>26.28</v>
      </c>
      <c r="G121" s="220">
        <f t="shared" si="39"/>
        <v>26.28</v>
      </c>
      <c r="H121" s="220">
        <f t="shared" si="39"/>
        <v>26.28</v>
      </c>
      <c r="I121" s="220">
        <f t="shared" si="39"/>
        <v>26.28</v>
      </c>
      <c r="J121" s="220">
        <f t="shared" si="39"/>
        <v>26.28</v>
      </c>
      <c r="K121" s="220">
        <f t="shared" si="39"/>
        <v>26.28</v>
      </c>
      <c r="L121" s="221">
        <f>3*365*24/1000</f>
        <v>26.28</v>
      </c>
      <c r="M121" s="220">
        <f t="shared" si="40"/>
        <v>26.28</v>
      </c>
      <c r="N121" s="233">
        <f t="shared" si="40"/>
        <v>26.28</v>
      </c>
      <c r="O121" s="233">
        <f t="shared" si="40"/>
        <v>26.28</v>
      </c>
      <c r="P121" s="234">
        <f t="shared" si="40"/>
        <v>26.28</v>
      </c>
      <c r="Q121" s="235">
        <f t="shared" si="41"/>
        <v>26.28</v>
      </c>
      <c r="R121" s="234">
        <f t="shared" si="41"/>
        <v>26.28</v>
      </c>
      <c r="S121" s="235">
        <f t="shared" si="42"/>
        <v>26.28</v>
      </c>
      <c r="T121" s="233">
        <f t="shared" si="42"/>
        <v>26.28</v>
      </c>
      <c r="U121" s="233">
        <f t="shared" si="42"/>
        <v>26.28</v>
      </c>
      <c r="V121" s="233">
        <f t="shared" si="42"/>
        <v>26.28</v>
      </c>
      <c r="W121" s="234">
        <f t="shared" si="42"/>
        <v>26.28</v>
      </c>
      <c r="X121" s="142" t="s">
        <v>155</v>
      </c>
    </row>
    <row r="122" spans="1:23" ht="15" customHeight="1">
      <c r="A122" s="236"/>
      <c r="B122" s="237"/>
      <c r="C122" s="237"/>
      <c r="D122" s="237"/>
      <c r="E122" s="237"/>
      <c r="F122" s="238"/>
      <c r="G122" s="238"/>
      <c r="H122" s="238"/>
      <c r="I122" s="238"/>
      <c r="J122" s="238"/>
      <c r="K122" s="238"/>
      <c r="L122" s="239"/>
      <c r="M122" s="238"/>
      <c r="N122" s="240"/>
      <c r="O122" s="240"/>
      <c r="P122" s="240"/>
      <c r="Q122" s="240"/>
      <c r="R122" s="240"/>
      <c r="S122" s="240"/>
      <c r="T122" s="240"/>
      <c r="U122" s="240"/>
      <c r="V122" s="240"/>
      <c r="W122" s="240"/>
    </row>
    <row r="123" spans="1:23" ht="15" customHeight="1">
      <c r="A123" s="236"/>
      <c r="B123" s="237"/>
      <c r="C123" s="237"/>
      <c r="D123" s="237"/>
      <c r="E123" s="237"/>
      <c r="F123" s="238"/>
      <c r="G123" s="238"/>
      <c r="H123" s="238"/>
      <c r="I123" s="238"/>
      <c r="J123" s="238"/>
      <c r="K123" s="238"/>
      <c r="L123" s="239"/>
      <c r="M123" s="238"/>
      <c r="N123" s="240"/>
      <c r="O123" s="240"/>
      <c r="P123" s="240"/>
      <c r="Q123" s="240"/>
      <c r="R123" s="240"/>
      <c r="S123" s="240"/>
      <c r="T123" s="240"/>
      <c r="U123" s="240"/>
      <c r="V123" s="240"/>
      <c r="W123" s="240"/>
    </row>
    <row r="124" spans="1:23" ht="15" customHeight="1">
      <c r="A124" s="236"/>
      <c r="B124" s="237"/>
      <c r="C124" s="237"/>
      <c r="D124" s="237"/>
      <c r="E124" s="237"/>
      <c r="F124" s="238"/>
      <c r="G124" s="238"/>
      <c r="H124" s="238"/>
      <c r="I124" s="238"/>
      <c r="J124" s="238"/>
      <c r="K124" s="238"/>
      <c r="L124" s="239"/>
      <c r="M124" s="238"/>
      <c r="N124" s="240"/>
      <c r="O124" s="240"/>
      <c r="P124" s="240"/>
      <c r="Q124" s="240"/>
      <c r="R124" s="240"/>
      <c r="S124" s="240"/>
      <c r="T124" s="240"/>
      <c r="U124" s="240"/>
      <c r="V124" s="240"/>
      <c r="W124" s="240"/>
    </row>
    <row r="125" spans="1:23" ht="15" customHeight="1">
      <c r="A125" s="242"/>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row>
    <row r="126" spans="1:23" ht="15" customHeight="1">
      <c r="A126" s="207"/>
      <c r="B126" s="207"/>
      <c r="C126" s="207"/>
      <c r="D126" s="207"/>
      <c r="E126" s="207"/>
      <c r="F126" s="142"/>
      <c r="G126" s="142"/>
      <c r="H126" s="142"/>
      <c r="I126" s="142"/>
      <c r="J126" s="142"/>
      <c r="K126" s="142"/>
      <c r="L126" s="142"/>
      <c r="M126" s="208"/>
      <c r="N126" s="208"/>
      <c r="O126" s="208"/>
      <c r="P126" s="208"/>
      <c r="Q126" s="208"/>
      <c r="R126" s="208"/>
      <c r="S126" s="208"/>
      <c r="T126" s="208"/>
      <c r="U126" s="208"/>
      <c r="V126" s="208"/>
      <c r="W126" s="208"/>
    </row>
    <row r="127" spans="1:23" ht="15" customHeight="1">
      <c r="A127" s="207"/>
      <c r="B127" s="207"/>
      <c r="C127" s="207"/>
      <c r="D127" s="207"/>
      <c r="E127" s="207"/>
      <c r="F127" s="142"/>
      <c r="G127" s="142"/>
      <c r="H127" s="142"/>
      <c r="I127" s="142"/>
      <c r="J127" s="142"/>
      <c r="K127" s="142"/>
      <c r="L127" s="142"/>
      <c r="M127" s="208"/>
      <c r="N127" s="208"/>
      <c r="O127" s="208"/>
      <c r="P127" s="208"/>
      <c r="Q127" s="208"/>
      <c r="R127" s="208"/>
      <c r="S127" s="208"/>
      <c r="T127" s="208"/>
      <c r="U127" s="208"/>
      <c r="V127" s="208"/>
      <c r="W127" s="208"/>
    </row>
    <row r="128" spans="1:23" ht="30" customHeight="1">
      <c r="A128" s="151" t="s">
        <v>156</v>
      </c>
      <c r="B128" s="153" t="s">
        <v>354</v>
      </c>
      <c r="C128" s="154" t="s">
        <v>71</v>
      </c>
      <c r="D128" s="153" t="s">
        <v>72</v>
      </c>
      <c r="E128" s="154" t="s">
        <v>73</v>
      </c>
      <c r="F128" s="153">
        <v>2013</v>
      </c>
      <c r="G128" s="152">
        <v>2014</v>
      </c>
      <c r="H128" s="152">
        <v>2015</v>
      </c>
      <c r="I128" s="152">
        <v>2016</v>
      </c>
      <c r="J128" s="152">
        <v>2017</v>
      </c>
      <c r="K128" s="152">
        <v>2018</v>
      </c>
      <c r="L128" s="152">
        <v>2019</v>
      </c>
      <c r="M128" s="152">
        <v>2020</v>
      </c>
      <c r="N128" s="152">
        <v>2021</v>
      </c>
      <c r="O128" s="152">
        <v>2022</v>
      </c>
      <c r="P128" s="154">
        <v>2023</v>
      </c>
      <c r="Q128" s="153">
        <v>2024</v>
      </c>
      <c r="R128" s="154">
        <v>2025</v>
      </c>
      <c r="S128" s="153">
        <v>2026</v>
      </c>
      <c r="T128" s="152">
        <v>2027</v>
      </c>
      <c r="U128" s="152">
        <v>2028</v>
      </c>
      <c r="V128" s="152">
        <v>2029</v>
      </c>
      <c r="W128" s="154">
        <v>2030</v>
      </c>
    </row>
    <row r="129" spans="1:27" ht="15" customHeight="1">
      <c r="A129" s="155" t="s">
        <v>158</v>
      </c>
      <c r="B129" s="209"/>
      <c r="C129" s="227">
        <v>0.18</v>
      </c>
      <c r="D129" s="243">
        <f t="shared" si="37"/>
        <v>0.18</v>
      </c>
      <c r="E129" s="216">
        <f aca="true" t="shared" si="44" ref="E129:E132">D129</f>
        <v>0.18</v>
      </c>
      <c r="F129" s="244">
        <v>342.72</v>
      </c>
      <c r="G129" s="245">
        <v>388.8</v>
      </c>
      <c r="H129" s="245">
        <v>506.48275862068965</v>
      </c>
      <c r="I129" s="245">
        <v>587.52</v>
      </c>
      <c r="J129" s="246">
        <v>702</v>
      </c>
      <c r="K129" s="168">
        <f>J129*1.15</f>
        <v>807.3</v>
      </c>
      <c r="L129" s="168">
        <f>K129*1.15</f>
        <v>928.3949999999999</v>
      </c>
      <c r="M129" s="160">
        <f t="shared" si="40"/>
        <v>1095.5060999999998</v>
      </c>
      <c r="N129" s="160">
        <f t="shared" si="40"/>
        <v>1292.6971979999998</v>
      </c>
      <c r="O129" s="171">
        <f t="shared" si="40"/>
        <v>1525.3826936399998</v>
      </c>
      <c r="P129" s="247">
        <f t="shared" si="40"/>
        <v>1799.9515784951998</v>
      </c>
      <c r="Q129" s="248">
        <f t="shared" si="41"/>
        <v>2123.9428626243357</v>
      </c>
      <c r="R129" s="247">
        <f aca="true" t="shared" si="45" ref="R129:R130">(1+$D129)*Q129</f>
        <v>2506.252577896716</v>
      </c>
      <c r="S129" s="249">
        <f t="shared" si="42"/>
        <v>2957.378041918125</v>
      </c>
      <c r="T129" s="193">
        <f aca="true" t="shared" si="46" ref="T129:W130">(1+$E129)*S129</f>
        <v>3489.7060894633873</v>
      </c>
      <c r="U129" s="193">
        <f t="shared" si="46"/>
        <v>4117.853185566797</v>
      </c>
      <c r="V129" s="193">
        <f t="shared" si="46"/>
        <v>4859.06675896882</v>
      </c>
      <c r="W129" s="250">
        <f t="shared" si="46"/>
        <v>5733.698775583207</v>
      </c>
      <c r="X129" s="142"/>
      <c r="Y129" s="142"/>
      <c r="Z129" s="208"/>
      <c r="AA129" s="142"/>
    </row>
    <row r="130" spans="1:27" ht="15" customHeight="1">
      <c r="A130" s="155" t="s">
        <v>161</v>
      </c>
      <c r="B130" s="209"/>
      <c r="C130" s="227">
        <v>0.35</v>
      </c>
      <c r="D130" s="243">
        <f t="shared" si="37"/>
        <v>0.35</v>
      </c>
      <c r="E130" s="216">
        <f t="shared" si="44"/>
        <v>0.35</v>
      </c>
      <c r="F130" s="170">
        <v>250.92</v>
      </c>
      <c r="G130" s="168">
        <v>302.4</v>
      </c>
      <c r="H130" s="168">
        <v>403.2</v>
      </c>
      <c r="I130" s="168">
        <v>483.84</v>
      </c>
      <c r="J130" s="190">
        <v>629</v>
      </c>
      <c r="K130" s="168">
        <f>J130*1.31</f>
        <v>823.99</v>
      </c>
      <c r="L130" s="168">
        <f>K130*1.31</f>
        <v>1079.4269000000002</v>
      </c>
      <c r="M130" s="168">
        <f t="shared" si="40"/>
        <v>1457.2263150000003</v>
      </c>
      <c r="N130" s="160">
        <f t="shared" si="40"/>
        <v>1967.2555252500006</v>
      </c>
      <c r="O130" s="171">
        <f t="shared" si="40"/>
        <v>2655.794959087501</v>
      </c>
      <c r="P130" s="247">
        <f t="shared" si="40"/>
        <v>3585.3231947681265</v>
      </c>
      <c r="Q130" s="248">
        <f t="shared" si="41"/>
        <v>4840.186312936971</v>
      </c>
      <c r="R130" s="247">
        <f t="shared" si="45"/>
        <v>6534.251522464911</v>
      </c>
      <c r="S130" s="249">
        <f t="shared" si="42"/>
        <v>8821.239555327631</v>
      </c>
      <c r="T130" s="193">
        <f t="shared" si="46"/>
        <v>11908.673399692303</v>
      </c>
      <c r="U130" s="193">
        <f t="shared" si="46"/>
        <v>16076.70908958461</v>
      </c>
      <c r="V130" s="193">
        <f t="shared" si="46"/>
        <v>21703.557270939225</v>
      </c>
      <c r="W130" s="250">
        <f t="shared" si="46"/>
        <v>29299.802315767956</v>
      </c>
      <c r="X130" s="142"/>
      <c r="Y130" s="142"/>
      <c r="Z130" s="142"/>
      <c r="AA130" s="142"/>
    </row>
    <row r="131" spans="1:27" ht="15" customHeight="1">
      <c r="A131" s="155" t="s">
        <v>163</v>
      </c>
      <c r="B131" s="209"/>
      <c r="C131" s="227"/>
      <c r="D131" s="243"/>
      <c r="E131" s="216"/>
      <c r="F131" s="170">
        <f>SUM(F129:F130)</f>
        <v>593.64</v>
      </c>
      <c r="G131" s="168">
        <f>SUM(G129:G130)</f>
        <v>691.2</v>
      </c>
      <c r="H131" s="168">
        <f>SUM(H129:H130)</f>
        <v>909.6827586206896</v>
      </c>
      <c r="I131" s="168">
        <f>SUM(I129:I130)</f>
        <v>1071.36</v>
      </c>
      <c r="J131" s="168">
        <f>SUM(J129:J130)</f>
        <v>1331</v>
      </c>
      <c r="K131" s="168">
        <f aca="true" t="shared" si="47" ref="K131:P131">SUM(K129:K130)</f>
        <v>1631.29</v>
      </c>
      <c r="L131" s="168">
        <f t="shared" si="47"/>
        <v>2007.8219</v>
      </c>
      <c r="M131" s="160">
        <f t="shared" si="47"/>
        <v>2552.7324150000004</v>
      </c>
      <c r="N131" s="160">
        <f t="shared" si="47"/>
        <v>3259.9527232500004</v>
      </c>
      <c r="O131" s="160">
        <f t="shared" si="47"/>
        <v>4181.177652727501</v>
      </c>
      <c r="P131" s="161">
        <f t="shared" si="47"/>
        <v>5385.274773263326</v>
      </c>
      <c r="Q131" s="159">
        <f>SUM(Q129:Q130)</f>
        <v>6964.129175561307</v>
      </c>
      <c r="R131" s="161">
        <f>SUM(R129:R130)</f>
        <v>9040.504100361628</v>
      </c>
      <c r="S131" s="249">
        <f aca="true" t="shared" si="48" ref="S131:W131">SUM(S129:S130)</f>
        <v>11778.617597245757</v>
      </c>
      <c r="T131" s="193">
        <f t="shared" si="48"/>
        <v>15398.37948915569</v>
      </c>
      <c r="U131" s="193">
        <f t="shared" si="48"/>
        <v>20194.56227515141</v>
      </c>
      <c r="V131" s="193">
        <f t="shared" si="48"/>
        <v>26562.624029908045</v>
      </c>
      <c r="W131" s="250">
        <f t="shared" si="48"/>
        <v>35033.501091351165</v>
      </c>
      <c r="AA131" s="142"/>
    </row>
    <row r="132" spans="1:27" ht="15" customHeight="1">
      <c r="A132" s="155" t="s">
        <v>165</v>
      </c>
      <c r="B132" s="209">
        <v>0.66</v>
      </c>
      <c r="C132" s="227">
        <v>0.45</v>
      </c>
      <c r="D132" s="243">
        <f t="shared" si="37"/>
        <v>0.45</v>
      </c>
      <c r="E132" s="216">
        <f t="shared" si="44"/>
        <v>0.45</v>
      </c>
      <c r="F132" s="170">
        <v>16</v>
      </c>
      <c r="G132" s="168">
        <v>28.799999999999955</v>
      </c>
      <c r="H132" s="168">
        <v>58.9041095890411</v>
      </c>
      <c r="I132" s="168">
        <v>86</v>
      </c>
      <c r="J132" s="168">
        <v>133</v>
      </c>
      <c r="K132" s="168">
        <f>19*12</f>
        <v>228</v>
      </c>
      <c r="L132" s="168">
        <f>29*12</f>
        <v>348</v>
      </c>
      <c r="M132" s="160">
        <f aca="true" t="shared" si="49" ref="M132:P132">(1+$C132)*L132</f>
        <v>504.59999999999997</v>
      </c>
      <c r="N132" s="160">
        <f t="shared" si="49"/>
        <v>731.67</v>
      </c>
      <c r="O132" s="160">
        <f t="shared" si="49"/>
        <v>1060.9215</v>
      </c>
      <c r="P132" s="161">
        <f t="shared" si="49"/>
        <v>1538.336175</v>
      </c>
      <c r="Q132" s="159">
        <f>(1+$D132)*P132</f>
        <v>2230.58745375</v>
      </c>
      <c r="R132" s="161">
        <f>(1+$D132)*Q132</f>
        <v>3234.3518079375</v>
      </c>
      <c r="S132" s="249">
        <f>(1+$E132)*R132</f>
        <v>4689.810121509375</v>
      </c>
      <c r="T132" s="193">
        <f aca="true" t="shared" si="50" ref="T132:W132">(1+$E132)*S132</f>
        <v>6800.224676188594</v>
      </c>
      <c r="U132" s="193">
        <f t="shared" si="50"/>
        <v>9860.32578047346</v>
      </c>
      <c r="V132" s="193">
        <f t="shared" si="50"/>
        <v>14297.472381686517</v>
      </c>
      <c r="W132" s="250">
        <f t="shared" si="50"/>
        <v>20731.33495344545</v>
      </c>
      <c r="X132" s="142" t="s">
        <v>355</v>
      </c>
      <c r="Y132" s="238"/>
      <c r="Z132" s="142"/>
      <c r="AA132" s="142"/>
    </row>
    <row r="133" spans="1:23" ht="15" customHeight="1">
      <c r="A133" s="197" t="s">
        <v>166</v>
      </c>
      <c r="B133" s="229"/>
      <c r="C133" s="256"/>
      <c r="D133" s="257"/>
      <c r="E133" s="258"/>
      <c r="F133" s="205">
        <f aca="true" t="shared" si="51" ref="F133:W133">SUM(F131:F132)</f>
        <v>609.64</v>
      </c>
      <c r="G133" s="203">
        <f t="shared" si="51"/>
        <v>720</v>
      </c>
      <c r="H133" s="203">
        <f t="shared" si="51"/>
        <v>968.5868682097307</v>
      </c>
      <c r="I133" s="203">
        <f t="shared" si="51"/>
        <v>1157.36</v>
      </c>
      <c r="J133" s="203">
        <f t="shared" si="51"/>
        <v>1464</v>
      </c>
      <c r="K133" s="203">
        <f t="shared" si="51"/>
        <v>1859.29</v>
      </c>
      <c r="L133" s="203">
        <f t="shared" si="51"/>
        <v>2355.8219</v>
      </c>
      <c r="M133" s="202">
        <f t="shared" si="51"/>
        <v>3057.3324150000003</v>
      </c>
      <c r="N133" s="202">
        <f t="shared" si="51"/>
        <v>3991.6227232500005</v>
      </c>
      <c r="O133" s="202">
        <f t="shared" si="51"/>
        <v>5242.0991527275</v>
      </c>
      <c r="P133" s="259">
        <f t="shared" si="51"/>
        <v>6923.610948263326</v>
      </c>
      <c r="Q133" s="201">
        <f t="shared" si="51"/>
        <v>9194.716629311308</v>
      </c>
      <c r="R133" s="259">
        <f t="shared" si="51"/>
        <v>12274.855908299127</v>
      </c>
      <c r="S133" s="260">
        <f t="shared" si="51"/>
        <v>16468.42771875513</v>
      </c>
      <c r="T133" s="261">
        <f t="shared" si="51"/>
        <v>22198.604165344284</v>
      </c>
      <c r="U133" s="261">
        <f t="shared" si="51"/>
        <v>30054.88805562487</v>
      </c>
      <c r="V133" s="261">
        <f t="shared" si="51"/>
        <v>40860.09641159456</v>
      </c>
      <c r="W133" s="262">
        <f t="shared" si="51"/>
        <v>55764.83604479661</v>
      </c>
    </row>
    <row r="134" spans="1:23" ht="15" customHeight="1">
      <c r="A134" s="155" t="s">
        <v>167</v>
      </c>
      <c r="B134" s="209"/>
      <c r="C134" s="227">
        <v>0.34</v>
      </c>
      <c r="D134" s="243">
        <f t="shared" si="37"/>
        <v>0.34</v>
      </c>
      <c r="E134" s="216">
        <f aca="true" t="shared" si="52" ref="E134:E144">C134</f>
        <v>0.34</v>
      </c>
      <c r="F134" s="170">
        <f aca="true" t="shared" si="53" ref="F134:L135">F200</f>
        <v>698.0325120000001</v>
      </c>
      <c r="G134" s="168">
        <f aca="true" t="shared" si="54" ref="G134:L134">G200</f>
        <v>1008.032</v>
      </c>
      <c r="H134" s="168">
        <f t="shared" si="54"/>
        <v>1598.0000000000002</v>
      </c>
      <c r="I134" s="168">
        <f t="shared" si="54"/>
        <v>2652</v>
      </c>
      <c r="J134" s="168">
        <f t="shared" si="54"/>
        <v>3800.9790000000003</v>
      </c>
      <c r="K134" s="168">
        <f t="shared" si="54"/>
        <v>5189.213484</v>
      </c>
      <c r="L134" s="168">
        <f t="shared" si="54"/>
        <v>6755.416529588999</v>
      </c>
      <c r="M134" s="160">
        <f aca="true" t="shared" si="55" ref="M134:P135">(1+$C134)*L134</f>
        <v>9052.258149649258</v>
      </c>
      <c r="N134" s="160">
        <f t="shared" si="55"/>
        <v>12130.025920530006</v>
      </c>
      <c r="O134" s="263">
        <f t="shared" si="55"/>
        <v>16254.23473351021</v>
      </c>
      <c r="P134" s="264">
        <f t="shared" si="55"/>
        <v>21780.674542903682</v>
      </c>
      <c r="Q134" s="265">
        <f aca="true" t="shared" si="56" ref="Q134:Q135">(1+$D134)*P134</f>
        <v>29186.103887490935</v>
      </c>
      <c r="R134" s="264">
        <f aca="true" t="shared" si="57" ref="R134:R135">(1+$D134)*Q134</f>
        <v>39109.37920923786</v>
      </c>
      <c r="S134" s="249">
        <f aca="true" t="shared" si="58" ref="S134:S135">(1+$E134)*R134</f>
        <v>52406.56814037873</v>
      </c>
      <c r="T134" s="193">
        <f aca="true" t="shared" si="59" ref="T134:W135">(1+$E134)*S134</f>
        <v>70224.8013081075</v>
      </c>
      <c r="U134" s="193">
        <f t="shared" si="59"/>
        <v>94101.23375286406</v>
      </c>
      <c r="V134" s="193">
        <f t="shared" si="59"/>
        <v>126095.65322883785</v>
      </c>
      <c r="W134" s="250">
        <f t="shared" si="59"/>
        <v>168968.17532664273</v>
      </c>
    </row>
    <row r="135" spans="1:23" ht="15" customHeight="1">
      <c r="A135" s="155" t="s">
        <v>168</v>
      </c>
      <c r="B135" s="209"/>
      <c r="C135" s="227">
        <v>0.16</v>
      </c>
      <c r="D135" s="243">
        <f t="shared" si="37"/>
        <v>0.16</v>
      </c>
      <c r="E135" s="216">
        <f t="shared" si="52"/>
        <v>0.16</v>
      </c>
      <c r="F135" s="170">
        <f t="shared" si="53"/>
        <v>2001.9674879999998</v>
      </c>
      <c r="G135" s="168">
        <f t="shared" si="53"/>
        <v>2391.968</v>
      </c>
      <c r="H135" s="168">
        <f t="shared" si="53"/>
        <v>3102</v>
      </c>
      <c r="I135" s="168">
        <f t="shared" si="53"/>
        <v>4148</v>
      </c>
      <c r="J135" s="168">
        <f t="shared" si="53"/>
        <v>5299.021</v>
      </c>
      <c r="K135" s="168">
        <f t="shared" si="53"/>
        <v>6410.786516</v>
      </c>
      <c r="L135" s="168">
        <f t="shared" si="53"/>
        <v>7344.583470411001</v>
      </c>
      <c r="M135" s="160">
        <f t="shared" si="55"/>
        <v>8519.71682567676</v>
      </c>
      <c r="N135" s="160">
        <f t="shared" si="55"/>
        <v>9882.87151778504</v>
      </c>
      <c r="O135" s="263">
        <f t="shared" si="55"/>
        <v>11464.130960630646</v>
      </c>
      <c r="P135" s="264">
        <f t="shared" si="55"/>
        <v>13298.391914331549</v>
      </c>
      <c r="Q135" s="265">
        <f t="shared" si="56"/>
        <v>15426.134620624596</v>
      </c>
      <c r="R135" s="264">
        <f t="shared" si="57"/>
        <v>17894.31615992453</v>
      </c>
      <c r="S135" s="249">
        <f t="shared" si="58"/>
        <v>20757.406745512453</v>
      </c>
      <c r="T135" s="193">
        <f t="shared" si="59"/>
        <v>24078.591824794443</v>
      </c>
      <c r="U135" s="193">
        <f t="shared" si="59"/>
        <v>27931.16651676155</v>
      </c>
      <c r="V135" s="193">
        <f t="shared" si="59"/>
        <v>32400.153159443395</v>
      </c>
      <c r="W135" s="250">
        <f t="shared" si="59"/>
        <v>37584.17766495433</v>
      </c>
    </row>
    <row r="136" spans="1:27" ht="15" customHeight="1">
      <c r="A136" s="197" t="s">
        <v>169</v>
      </c>
      <c r="B136" s="229"/>
      <c r="C136" s="256"/>
      <c r="D136" s="257"/>
      <c r="E136" s="258"/>
      <c r="F136" s="205">
        <f aca="true" t="shared" si="60" ref="F136:W136">SUM(F134:F135)</f>
        <v>2700</v>
      </c>
      <c r="G136" s="203">
        <f t="shared" si="60"/>
        <v>3400</v>
      </c>
      <c r="H136" s="203">
        <f t="shared" si="60"/>
        <v>4700</v>
      </c>
      <c r="I136" s="203">
        <f t="shared" si="60"/>
        <v>6800</v>
      </c>
      <c r="J136" s="204">
        <f t="shared" si="60"/>
        <v>9100</v>
      </c>
      <c r="K136" s="203">
        <f t="shared" si="60"/>
        <v>11600</v>
      </c>
      <c r="L136" s="203">
        <f t="shared" si="60"/>
        <v>14100</v>
      </c>
      <c r="M136" s="202">
        <f t="shared" si="60"/>
        <v>17571.97497532602</v>
      </c>
      <c r="N136" s="202">
        <f t="shared" si="60"/>
        <v>22012.89743831505</v>
      </c>
      <c r="O136" s="202">
        <f t="shared" si="60"/>
        <v>27718.365694140855</v>
      </c>
      <c r="P136" s="266">
        <f t="shared" si="60"/>
        <v>35079.06645723523</v>
      </c>
      <c r="Q136" s="267">
        <f t="shared" si="60"/>
        <v>44612.23850811553</v>
      </c>
      <c r="R136" s="266">
        <f t="shared" si="60"/>
        <v>57003.695369162386</v>
      </c>
      <c r="S136" s="260">
        <f t="shared" si="60"/>
        <v>73163.97488589119</v>
      </c>
      <c r="T136" s="261">
        <f t="shared" si="60"/>
        <v>94303.39313290195</v>
      </c>
      <c r="U136" s="261">
        <f t="shared" si="60"/>
        <v>122032.40026962562</v>
      </c>
      <c r="V136" s="261">
        <f t="shared" si="60"/>
        <v>158495.80638828126</v>
      </c>
      <c r="W136" s="262">
        <f t="shared" si="60"/>
        <v>206552.35299159706</v>
      </c>
      <c r="X136" s="326"/>
      <c r="Y136" s="326"/>
      <c r="Z136" s="326"/>
      <c r="AA136" s="142"/>
    </row>
    <row r="137" spans="1:5" ht="15" customHeight="1">
      <c r="A137" s="223"/>
      <c r="B137" s="223"/>
      <c r="C137" s="223"/>
      <c r="D137" s="223"/>
      <c r="E137" s="223"/>
    </row>
    <row r="138" spans="1:5" ht="15" customHeight="1">
      <c r="A138" s="223"/>
      <c r="B138" s="223"/>
      <c r="C138" s="223"/>
      <c r="D138" s="223"/>
      <c r="E138" s="223"/>
    </row>
    <row r="139" spans="1:23" ht="30" customHeight="1">
      <c r="A139" s="268" t="s">
        <v>170</v>
      </c>
      <c r="B139" s="269" t="s">
        <v>354</v>
      </c>
      <c r="C139" s="154" t="s">
        <v>71</v>
      </c>
      <c r="D139" s="269" t="s">
        <v>72</v>
      </c>
      <c r="E139" s="270" t="s">
        <v>73</v>
      </c>
      <c r="F139" s="269">
        <v>2013</v>
      </c>
      <c r="G139" s="271">
        <v>2014</v>
      </c>
      <c r="H139" s="271">
        <v>2015</v>
      </c>
      <c r="I139" s="271">
        <v>2016</v>
      </c>
      <c r="J139" s="271">
        <v>2017</v>
      </c>
      <c r="K139" s="271">
        <v>2018</v>
      </c>
      <c r="L139" s="271">
        <v>2019</v>
      </c>
      <c r="M139" s="271">
        <v>2020</v>
      </c>
      <c r="N139" s="271">
        <v>2021</v>
      </c>
      <c r="O139" s="271">
        <v>2022</v>
      </c>
      <c r="P139" s="270">
        <v>2023</v>
      </c>
      <c r="Q139" s="269">
        <v>2024</v>
      </c>
      <c r="R139" s="270">
        <v>2025</v>
      </c>
      <c r="S139" s="269">
        <v>2026</v>
      </c>
      <c r="T139" s="271">
        <v>2027</v>
      </c>
      <c r="U139" s="271">
        <v>2028</v>
      </c>
      <c r="V139" s="271">
        <v>2029</v>
      </c>
      <c r="W139" s="270">
        <v>2030</v>
      </c>
    </row>
    <row r="140" spans="1:27" ht="15" customHeight="1">
      <c r="A140" s="272" t="s">
        <v>158</v>
      </c>
      <c r="B140" s="273">
        <v>-0.25</v>
      </c>
      <c r="C140" s="274">
        <v>-0.22</v>
      </c>
      <c r="D140" s="273">
        <f t="shared" si="37"/>
        <v>-0.22</v>
      </c>
      <c r="E140" s="275">
        <v>-0.18</v>
      </c>
      <c r="F140" s="276">
        <f aca="true" t="shared" si="61" ref="F140:K144">G140/(1+$B140)</f>
        <v>0.39330589849108377</v>
      </c>
      <c r="G140" s="277">
        <f t="shared" si="61"/>
        <v>0.29497942386831283</v>
      </c>
      <c r="H140" s="277">
        <f t="shared" si="61"/>
        <v>0.2212345679012346</v>
      </c>
      <c r="I140" s="277">
        <f t="shared" si="61"/>
        <v>0.16592592592592595</v>
      </c>
      <c r="J140" s="277">
        <f t="shared" si="61"/>
        <v>0.12444444444444445</v>
      </c>
      <c r="K140" s="277">
        <f t="shared" si="61"/>
        <v>0.09333333333333334</v>
      </c>
      <c r="L140" s="278">
        <v>0.07</v>
      </c>
      <c r="M140" s="277">
        <f aca="true" t="shared" si="62" ref="M140:P144">(1+$C140)*L140</f>
        <v>0.05460000000000001</v>
      </c>
      <c r="N140" s="277">
        <f t="shared" si="62"/>
        <v>0.04258800000000001</v>
      </c>
      <c r="O140" s="277">
        <f t="shared" si="62"/>
        <v>0.03321864000000001</v>
      </c>
      <c r="P140" s="279">
        <f t="shared" si="62"/>
        <v>0.025910539200000006</v>
      </c>
      <c r="Q140" s="276">
        <f aca="true" t="shared" si="63" ref="Q140:R144">(1+$D140)*P140</f>
        <v>0.020210220576000006</v>
      </c>
      <c r="R140" s="279">
        <f>(1+$D140)*Q140</f>
        <v>0.015763972049280005</v>
      </c>
      <c r="S140" s="280">
        <f aca="true" t="shared" si="64" ref="S140:W144">(1+$E140)*R140</f>
        <v>0.012926457080409605</v>
      </c>
      <c r="T140" s="281">
        <f aca="true" t="shared" si="65" ref="T140:W140">(1+$E140)*S140</f>
        <v>0.010599694805935877</v>
      </c>
      <c r="U140" s="281">
        <f t="shared" si="65"/>
        <v>0.00869174974086742</v>
      </c>
      <c r="V140" s="281">
        <f t="shared" si="65"/>
        <v>0.007127234787511285</v>
      </c>
      <c r="W140" s="282">
        <f t="shared" si="65"/>
        <v>0.0058443325257592545</v>
      </c>
      <c r="X140" s="418"/>
      <c r="Y140" s="321"/>
      <c r="Z140" s="321"/>
      <c r="AA140" s="321"/>
    </row>
    <row r="141" spans="1:27" ht="15" customHeight="1">
      <c r="A141" s="155" t="s">
        <v>161</v>
      </c>
      <c r="B141" s="209">
        <v>-0.25</v>
      </c>
      <c r="C141" s="210">
        <v>-0.22</v>
      </c>
      <c r="D141" s="209">
        <f t="shared" si="37"/>
        <v>-0.22</v>
      </c>
      <c r="E141" s="225">
        <v>-0.18</v>
      </c>
      <c r="F141" s="165">
        <f t="shared" si="61"/>
        <v>0.39330589849108377</v>
      </c>
      <c r="G141" s="166">
        <f t="shared" si="61"/>
        <v>0.29497942386831283</v>
      </c>
      <c r="H141" s="166">
        <f t="shared" si="61"/>
        <v>0.2212345679012346</v>
      </c>
      <c r="I141" s="166">
        <f t="shared" si="61"/>
        <v>0.16592592592592595</v>
      </c>
      <c r="J141" s="166">
        <f t="shared" si="61"/>
        <v>0.12444444444444445</v>
      </c>
      <c r="K141" s="166">
        <f t="shared" si="61"/>
        <v>0.09333333333333334</v>
      </c>
      <c r="L141" s="283">
        <v>0.07</v>
      </c>
      <c r="M141" s="166">
        <f t="shared" si="62"/>
        <v>0.05460000000000001</v>
      </c>
      <c r="N141" s="166">
        <f t="shared" si="62"/>
        <v>0.04258800000000001</v>
      </c>
      <c r="O141" s="166">
        <f t="shared" si="62"/>
        <v>0.03321864000000001</v>
      </c>
      <c r="P141" s="167">
        <f t="shared" si="62"/>
        <v>0.025910539200000006</v>
      </c>
      <c r="Q141" s="165">
        <f t="shared" si="63"/>
        <v>0.020210220576000006</v>
      </c>
      <c r="R141" s="167">
        <f t="shared" si="63"/>
        <v>0.015763972049280005</v>
      </c>
      <c r="S141" s="172">
        <f t="shared" si="64"/>
        <v>0.012926457080409605</v>
      </c>
      <c r="T141" s="173">
        <f t="shared" si="64"/>
        <v>0.010599694805935877</v>
      </c>
      <c r="U141" s="173">
        <f t="shared" si="64"/>
        <v>0.00869174974086742</v>
      </c>
      <c r="V141" s="173">
        <f t="shared" si="64"/>
        <v>0.007127234787511285</v>
      </c>
      <c r="W141" s="284">
        <f t="shared" si="64"/>
        <v>0.0058443325257592545</v>
      </c>
      <c r="X141" s="321"/>
      <c r="Y141" s="321"/>
      <c r="Z141" s="321"/>
      <c r="AA141" s="321"/>
    </row>
    <row r="142" spans="1:27" ht="15" customHeight="1">
      <c r="A142" s="178" t="s">
        <v>165</v>
      </c>
      <c r="B142" s="217">
        <v>-0.2</v>
      </c>
      <c r="C142" s="218">
        <v>-0.2</v>
      </c>
      <c r="D142" s="217">
        <f t="shared" si="37"/>
        <v>-0.2</v>
      </c>
      <c r="E142" s="285">
        <v>-0.22</v>
      </c>
      <c r="F142" s="286">
        <f t="shared" si="61"/>
        <v>2.2888183593749987</v>
      </c>
      <c r="G142" s="287">
        <f t="shared" si="61"/>
        <v>1.8310546874999991</v>
      </c>
      <c r="H142" s="287">
        <f t="shared" si="61"/>
        <v>1.4648437499999993</v>
      </c>
      <c r="I142" s="287">
        <f t="shared" si="61"/>
        <v>1.1718749999999996</v>
      </c>
      <c r="J142" s="287">
        <f t="shared" si="61"/>
        <v>0.9374999999999998</v>
      </c>
      <c r="K142" s="287">
        <f t="shared" si="61"/>
        <v>0.7499999999999999</v>
      </c>
      <c r="L142" s="288">
        <v>0.6</v>
      </c>
      <c r="M142" s="287">
        <f t="shared" si="62"/>
        <v>0.48</v>
      </c>
      <c r="N142" s="287">
        <f t="shared" si="62"/>
        <v>0.384</v>
      </c>
      <c r="O142" s="287">
        <f t="shared" si="62"/>
        <v>0.30720000000000003</v>
      </c>
      <c r="P142" s="289">
        <f t="shared" si="62"/>
        <v>0.24576000000000003</v>
      </c>
      <c r="Q142" s="286">
        <f t="shared" si="63"/>
        <v>0.19660800000000003</v>
      </c>
      <c r="R142" s="289">
        <f t="shared" si="63"/>
        <v>0.15728640000000005</v>
      </c>
      <c r="S142" s="181">
        <f t="shared" si="64"/>
        <v>0.12268339200000004</v>
      </c>
      <c r="T142" s="182">
        <f t="shared" si="64"/>
        <v>0.09569304576000004</v>
      </c>
      <c r="U142" s="182">
        <f t="shared" si="64"/>
        <v>0.07464057569280004</v>
      </c>
      <c r="V142" s="182">
        <f t="shared" si="64"/>
        <v>0.058219649040384035</v>
      </c>
      <c r="W142" s="290">
        <f t="shared" si="64"/>
        <v>0.045411326251499545</v>
      </c>
      <c r="X142" s="321"/>
      <c r="Y142" s="321"/>
      <c r="Z142" s="321"/>
      <c r="AA142" s="321"/>
    </row>
    <row r="143" spans="1:27" ht="15" customHeight="1">
      <c r="A143" s="155" t="s">
        <v>167</v>
      </c>
      <c r="B143" s="209">
        <v>-0.13</v>
      </c>
      <c r="C143" s="210">
        <v>-0.11</v>
      </c>
      <c r="D143" s="209">
        <f t="shared" si="37"/>
        <v>-0.11</v>
      </c>
      <c r="E143" s="210">
        <f t="shared" si="52"/>
        <v>-0.11</v>
      </c>
      <c r="F143" s="291">
        <f t="shared" si="61"/>
        <v>0.023983790591528734</v>
      </c>
      <c r="G143" s="292">
        <f t="shared" si="61"/>
        <v>0.020865897814629997</v>
      </c>
      <c r="H143" s="292">
        <f t="shared" si="61"/>
        <v>0.018153331098728097</v>
      </c>
      <c r="I143" s="292">
        <f t="shared" si="61"/>
        <v>0.015793398055893443</v>
      </c>
      <c r="J143" s="292">
        <f t="shared" si="61"/>
        <v>0.013740256308627295</v>
      </c>
      <c r="K143" s="292">
        <f t="shared" si="61"/>
        <v>0.011954022988505746</v>
      </c>
      <c r="L143" s="293">
        <v>0.0104</v>
      </c>
      <c r="M143" s="292">
        <f t="shared" si="62"/>
        <v>0.009256</v>
      </c>
      <c r="N143" s="292">
        <f t="shared" si="62"/>
        <v>0.00823784</v>
      </c>
      <c r="O143" s="292">
        <f t="shared" si="62"/>
        <v>0.0073316776</v>
      </c>
      <c r="P143" s="294">
        <f t="shared" si="62"/>
        <v>0.006525193064</v>
      </c>
      <c r="Q143" s="165">
        <f t="shared" si="63"/>
        <v>0.00580742182696</v>
      </c>
      <c r="R143" s="167">
        <f t="shared" si="63"/>
        <v>0.0051686054259944</v>
      </c>
      <c r="S143" s="172">
        <f t="shared" si="64"/>
        <v>0.0046000588291350165</v>
      </c>
      <c r="T143" s="173">
        <f t="shared" si="64"/>
        <v>0.004094052357930165</v>
      </c>
      <c r="U143" s="173">
        <f t="shared" si="64"/>
        <v>0.0036437065985578465</v>
      </c>
      <c r="V143" s="173">
        <f t="shared" si="64"/>
        <v>0.0032428988727164834</v>
      </c>
      <c r="W143" s="284">
        <f t="shared" si="64"/>
        <v>0.00288617999671767</v>
      </c>
      <c r="X143" s="142"/>
      <c r="Y143" s="321"/>
      <c r="Z143" s="321"/>
      <c r="AA143" s="321"/>
    </row>
    <row r="144" spans="1:27" ht="15" customHeight="1">
      <c r="A144" s="178" t="s">
        <v>171</v>
      </c>
      <c r="B144" s="217">
        <v>-0.12</v>
      </c>
      <c r="C144" s="218">
        <v>-0.1</v>
      </c>
      <c r="D144" s="217">
        <f t="shared" si="37"/>
        <v>-0.1</v>
      </c>
      <c r="E144" s="218">
        <f t="shared" si="52"/>
        <v>-0.1</v>
      </c>
      <c r="F144" s="296">
        <f t="shared" si="61"/>
        <v>0.10271227441240383</v>
      </c>
      <c r="G144" s="297">
        <f t="shared" si="61"/>
        <v>0.09038680148291536</v>
      </c>
      <c r="H144" s="297">
        <f t="shared" si="61"/>
        <v>0.07954038530496552</v>
      </c>
      <c r="I144" s="297">
        <f t="shared" si="61"/>
        <v>0.06999553906836965</v>
      </c>
      <c r="J144" s="297">
        <f t="shared" si="61"/>
        <v>0.06159607438016529</v>
      </c>
      <c r="K144" s="297">
        <f t="shared" si="61"/>
        <v>0.05420454545454546</v>
      </c>
      <c r="L144" s="298">
        <v>0.0477</v>
      </c>
      <c r="M144" s="297">
        <f t="shared" si="62"/>
        <v>0.04293</v>
      </c>
      <c r="N144" s="297">
        <f t="shared" si="62"/>
        <v>0.038637000000000005</v>
      </c>
      <c r="O144" s="297">
        <f t="shared" si="62"/>
        <v>0.03477330000000001</v>
      </c>
      <c r="P144" s="299">
        <f t="shared" si="62"/>
        <v>0.031295970000000006</v>
      </c>
      <c r="Q144" s="286">
        <f t="shared" si="63"/>
        <v>0.028166373000000005</v>
      </c>
      <c r="R144" s="289">
        <f t="shared" si="63"/>
        <v>0.025349735700000004</v>
      </c>
      <c r="S144" s="181">
        <f t="shared" si="64"/>
        <v>0.022814762130000003</v>
      </c>
      <c r="T144" s="182">
        <f t="shared" si="64"/>
        <v>0.020533285917000002</v>
      </c>
      <c r="U144" s="182">
        <f t="shared" si="64"/>
        <v>0.018479957325300004</v>
      </c>
      <c r="V144" s="182">
        <f t="shared" si="64"/>
        <v>0.016631961592770004</v>
      </c>
      <c r="W144" s="290">
        <f t="shared" si="64"/>
        <v>0.014968765433493004</v>
      </c>
      <c r="X144" s="142"/>
      <c r="Y144" s="321"/>
      <c r="Z144" s="321"/>
      <c r="AA144" s="321"/>
    </row>
    <row r="145" ht="15" customHeight="1"/>
    <row r="146" ht="14"/>
    <row r="147" spans="1:14" ht="73">
      <c r="A147" s="300" t="s">
        <v>172</v>
      </c>
      <c r="B147" s="300"/>
      <c r="C147" s="300"/>
      <c r="D147" s="300"/>
      <c r="E147" s="300"/>
      <c r="F147" s="301" t="s">
        <v>173</v>
      </c>
      <c r="G147" s="302" t="s">
        <v>174</v>
      </c>
      <c r="H147" s="303" t="s">
        <v>175</v>
      </c>
      <c r="I147" s="303" t="s">
        <v>176</v>
      </c>
      <c r="J147" s="303" t="s">
        <v>177</v>
      </c>
      <c r="K147" s="304" t="s">
        <v>178</v>
      </c>
      <c r="L147" s="304" t="s">
        <v>179</v>
      </c>
      <c r="M147" s="304" t="s">
        <v>180</v>
      </c>
      <c r="N147" s="305" t="s">
        <v>181</v>
      </c>
    </row>
    <row r="148" spans="6:14" ht="14.5">
      <c r="F148" s="306" t="s">
        <v>183</v>
      </c>
      <c r="G148" s="307">
        <f>47/9</f>
        <v>5.222222222222222</v>
      </c>
      <c r="H148" s="308">
        <f>37/9</f>
        <v>4.111111111111111</v>
      </c>
      <c r="I148" s="308">
        <v>5.222222222222222</v>
      </c>
      <c r="J148" s="308">
        <f>47/9</f>
        <v>5.222222222222222</v>
      </c>
      <c r="K148" s="309">
        <f>10*0.9*0.9*0.9*0.9</f>
        <v>6.561</v>
      </c>
      <c r="L148" s="310">
        <v>4.6</v>
      </c>
      <c r="M148" s="310"/>
      <c r="N148" s="311"/>
    </row>
    <row r="149" spans="6:14" ht="14.5">
      <c r="F149" s="306" t="s">
        <v>185</v>
      </c>
      <c r="G149" s="307">
        <f>14/35</f>
        <v>0.4</v>
      </c>
      <c r="H149" s="308">
        <f>11/35</f>
        <v>0.3142857142857143</v>
      </c>
      <c r="I149" s="308">
        <v>0.4</v>
      </c>
      <c r="J149" s="308">
        <f>14/35</f>
        <v>0.4</v>
      </c>
      <c r="K149" s="309">
        <f>1*0.85*0.85*0.85*0.85</f>
        <v>0.5220062499999999</v>
      </c>
      <c r="L149" s="310">
        <v>2.139</v>
      </c>
      <c r="M149" s="310"/>
      <c r="N149" s="311"/>
    </row>
    <row r="150" spans="6:14" ht="14.5">
      <c r="F150" s="306" t="s">
        <v>187</v>
      </c>
      <c r="G150" s="307">
        <f>24/290</f>
        <v>0.08275862068965517</v>
      </c>
      <c r="H150" s="308">
        <f>19/290</f>
        <v>0.06551724137931035</v>
      </c>
      <c r="I150" s="308">
        <v>0.08275862068965517</v>
      </c>
      <c r="J150" s="308">
        <f>24/290</f>
        <v>0.08275862068965517</v>
      </c>
      <c r="K150" s="309">
        <f>0.5*0.8*0.8*0.8*0.8</f>
        <v>0.20480000000000007</v>
      </c>
      <c r="L150" s="310">
        <v>0.089</v>
      </c>
      <c r="M150" s="310"/>
      <c r="N150" s="311"/>
    </row>
    <row r="151" spans="6:14" ht="14.5">
      <c r="F151" s="306" t="s">
        <v>188</v>
      </c>
      <c r="G151" s="312">
        <v>0.06</v>
      </c>
      <c r="H151" s="313">
        <v>0.06</v>
      </c>
      <c r="I151" s="313">
        <v>0.12</v>
      </c>
      <c r="J151" s="308">
        <f>2/46</f>
        <v>0.043478260869565216</v>
      </c>
      <c r="K151" s="309"/>
      <c r="L151" s="310"/>
      <c r="M151" s="310"/>
      <c r="N151" s="311"/>
    </row>
    <row r="152" spans="6:14" ht="14.5">
      <c r="F152" s="306" t="s">
        <v>190</v>
      </c>
      <c r="G152" s="307">
        <v>0.2</v>
      </c>
      <c r="H152" s="308">
        <v>0.094</v>
      </c>
      <c r="I152" s="308">
        <f>G152*172/392</f>
        <v>0.08775510204081632</v>
      </c>
      <c r="J152" s="308">
        <v>0.088</v>
      </c>
      <c r="K152" s="309">
        <f>0.2*0.25</f>
        <v>0.05</v>
      </c>
      <c r="L152" s="310">
        <v>0.033</v>
      </c>
      <c r="M152" s="310"/>
      <c r="N152" s="311"/>
    </row>
    <row r="153" spans="6:14" ht="14.5">
      <c r="F153" s="306" t="s">
        <v>191</v>
      </c>
      <c r="G153" s="307">
        <v>0.123</v>
      </c>
      <c r="H153" s="308">
        <v>0.056</v>
      </c>
      <c r="I153" s="308">
        <f>G153*69/158</f>
        <v>0.053715189873417724</v>
      </c>
      <c r="J153" s="308">
        <v>0.054</v>
      </c>
      <c r="K153" s="314">
        <f>K152</f>
        <v>0.05</v>
      </c>
      <c r="L153" s="310">
        <v>0.033</v>
      </c>
      <c r="M153" s="310"/>
      <c r="N153" s="311"/>
    </row>
    <row r="154" spans="6:14" ht="15">
      <c r="F154" s="315" t="s">
        <v>192</v>
      </c>
      <c r="G154" s="316">
        <v>22</v>
      </c>
      <c r="H154" s="317">
        <v>22</v>
      </c>
      <c r="I154" s="317">
        <v>22</v>
      </c>
      <c r="J154" s="317">
        <v>22</v>
      </c>
      <c r="K154" s="318"/>
      <c r="L154" s="319"/>
      <c r="M154" s="319"/>
      <c r="N154" s="311"/>
    </row>
    <row r="155" ht="15">
      <c r="N155" s="311"/>
    </row>
    <row r="156" spans="1:24" ht="27">
      <c r="A156" s="320" t="s">
        <v>193</v>
      </c>
      <c r="B156" s="320"/>
      <c r="C156" s="320"/>
      <c r="D156" s="320"/>
      <c r="E156" s="320"/>
      <c r="F156" s="143" t="s">
        <v>194</v>
      </c>
      <c r="G156" s="321">
        <f>G168/$X$156</f>
        <v>0.22988505747126436</v>
      </c>
      <c r="H156" s="321">
        <f>H168/$X$156</f>
        <v>0.22988505747126436</v>
      </c>
      <c r="I156" s="321">
        <f>I168/$X$156</f>
        <v>0.3649425287356322</v>
      </c>
      <c r="J156" s="321">
        <f>J168/$X$156</f>
        <v>0.29310344827586204</v>
      </c>
      <c r="K156" s="321">
        <f>K168/$X$156</f>
        <v>0.43103448275862066</v>
      </c>
      <c r="L156" s="322">
        <f>2.06/5.7</f>
        <v>0.36140350877192984</v>
      </c>
      <c r="M156" s="321"/>
      <c r="N156" s="311">
        <v>0.6</v>
      </c>
      <c r="O156" s="142" t="s">
        <v>195</v>
      </c>
      <c r="X156" s="142">
        <f>29*12</f>
        <v>348</v>
      </c>
    </row>
    <row r="157" spans="1:24" ht="15">
      <c r="A157" s="320" t="s">
        <v>196</v>
      </c>
      <c r="B157" s="320"/>
      <c r="C157" s="320"/>
      <c r="D157" s="320"/>
      <c r="E157" s="320"/>
      <c r="F157" s="143" t="s">
        <v>197</v>
      </c>
      <c r="G157" s="321">
        <f>G169/$X$158</f>
        <v>0.21511627906976744</v>
      </c>
      <c r="H157" s="321">
        <f>H169/$X$158</f>
        <v>0.12403100775193798</v>
      </c>
      <c r="I157" s="321">
        <f>I169/$X$158</f>
        <v>0.11676356589147287</v>
      </c>
      <c r="J157" s="321">
        <f>J169/$X$158</f>
        <v>0.0998062015503876</v>
      </c>
      <c r="K157" s="321">
        <f>K169/$X$158</f>
        <v>0.0436046511627907</v>
      </c>
      <c r="L157" s="322">
        <f>1.44/43.5</f>
        <v>0.03310344827586207</v>
      </c>
      <c r="M157" s="321"/>
      <c r="N157" s="311">
        <v>0.07</v>
      </c>
      <c r="O157" s="142" t="s">
        <v>198</v>
      </c>
      <c r="X157" s="142">
        <f>201*12</f>
        <v>2412</v>
      </c>
    </row>
    <row r="158" spans="6:24" ht="15">
      <c r="F158" s="143" t="s">
        <v>199</v>
      </c>
      <c r="G158" s="321">
        <f>G170/$X$157</f>
        <v>0.21724709784411278</v>
      </c>
      <c r="H158" s="321">
        <f>H170/$X$157</f>
        <v>0.13930348258706468</v>
      </c>
      <c r="I158" s="321">
        <f>I170/$X$157</f>
        <v>0.15257048092868988</v>
      </c>
      <c r="J158" s="321">
        <f>J170/$X$157</f>
        <v>0.12769485903814262</v>
      </c>
      <c r="K158" s="321">
        <f>K170/$X$157</f>
        <v>0.09950248756218906</v>
      </c>
      <c r="L158" s="322">
        <f>3.5/49.2</f>
        <v>0.07113821138211382</v>
      </c>
      <c r="M158" s="321">
        <f>492/$X$157</f>
        <v>0.20398009950248755</v>
      </c>
      <c r="N158" s="311"/>
      <c r="O158" s="142" t="s">
        <v>200</v>
      </c>
      <c r="X158" s="142">
        <f>X157-X156</f>
        <v>2064</v>
      </c>
    </row>
    <row r="159" spans="1:15" ht="27">
      <c r="A159" s="320" t="s">
        <v>201</v>
      </c>
      <c r="B159" s="320"/>
      <c r="C159" s="320"/>
      <c r="D159" s="320"/>
      <c r="E159" s="320"/>
      <c r="F159" s="143" t="s">
        <v>202</v>
      </c>
      <c r="G159" s="142"/>
      <c r="H159" s="142"/>
      <c r="I159" s="142"/>
      <c r="J159" s="142"/>
      <c r="K159" s="323" t="s">
        <v>203</v>
      </c>
      <c r="L159" s="324">
        <v>0.3</v>
      </c>
      <c r="N159" s="311">
        <v>20</v>
      </c>
      <c r="O159" s="251"/>
    </row>
    <row r="160" spans="1:16" ht="14">
      <c r="A160" s="320"/>
      <c r="B160" s="320"/>
      <c r="C160" s="320"/>
      <c r="D160" s="320"/>
      <c r="E160" s="320"/>
      <c r="F160" s="143" t="s">
        <v>204</v>
      </c>
      <c r="G160" s="142"/>
      <c r="H160" s="142"/>
      <c r="I160" s="142">
        <v>20</v>
      </c>
      <c r="J160" s="142">
        <v>20</v>
      </c>
      <c r="K160" s="251">
        <v>0.25</v>
      </c>
      <c r="L160" s="324">
        <v>0.25</v>
      </c>
      <c r="N160" s="311">
        <v>25</v>
      </c>
      <c r="O160" s="251">
        <v>0.3</v>
      </c>
      <c r="P160" s="142" t="s">
        <v>205</v>
      </c>
    </row>
    <row r="161" spans="6:16" ht="73">
      <c r="F161" s="301" t="s">
        <v>207</v>
      </c>
      <c r="G161" s="302" t="s">
        <v>174</v>
      </c>
      <c r="H161" s="303" t="s">
        <v>175</v>
      </c>
      <c r="I161" s="303" t="s">
        <v>176</v>
      </c>
      <c r="J161" s="303" t="s">
        <v>177</v>
      </c>
      <c r="K161" s="304" t="s">
        <v>178</v>
      </c>
      <c r="L161" s="304" t="s">
        <v>208</v>
      </c>
      <c r="M161" s="304" t="s">
        <v>180</v>
      </c>
      <c r="N161" s="325" t="s">
        <v>209</v>
      </c>
      <c r="O161" s="305" t="s">
        <v>181</v>
      </c>
      <c r="P161" s="325"/>
    </row>
    <row r="162" spans="6:13" ht="14.5">
      <c r="F162" s="306" t="s">
        <v>183</v>
      </c>
      <c r="G162" s="307"/>
      <c r="H162" s="308"/>
      <c r="I162" s="308"/>
      <c r="J162" s="308"/>
      <c r="K162" s="309"/>
      <c r="L162" s="310"/>
      <c r="M162" s="310"/>
    </row>
    <row r="163" spans="6:13" ht="14.5">
      <c r="F163" s="306" t="s">
        <v>185</v>
      </c>
      <c r="G163" s="307"/>
      <c r="H163" s="308"/>
      <c r="I163" s="308"/>
      <c r="J163" s="308"/>
      <c r="K163" s="309"/>
      <c r="L163" s="310"/>
      <c r="M163" s="310"/>
    </row>
    <row r="164" spans="6:13" ht="14.5">
      <c r="F164" s="306" t="s">
        <v>187</v>
      </c>
      <c r="G164" s="307"/>
      <c r="H164" s="308"/>
      <c r="I164" s="308"/>
      <c r="J164" s="308"/>
      <c r="K164" s="309"/>
      <c r="L164" s="310"/>
      <c r="M164" s="310"/>
    </row>
    <row r="165" spans="6:13" ht="14.5">
      <c r="F165" s="306" t="s">
        <v>188</v>
      </c>
      <c r="G165" s="312"/>
      <c r="H165" s="313"/>
      <c r="I165" s="313"/>
      <c r="J165" s="308"/>
      <c r="K165" s="309"/>
      <c r="L165" s="310"/>
      <c r="M165" s="310"/>
    </row>
    <row r="166" spans="6:13" ht="14.5">
      <c r="F166" s="306" t="s">
        <v>190</v>
      </c>
      <c r="G166" s="307">
        <v>286</v>
      </c>
      <c r="H166" s="308">
        <v>185</v>
      </c>
      <c r="I166" s="308">
        <v>172</v>
      </c>
      <c r="J166" s="308">
        <v>134</v>
      </c>
      <c r="K166" s="309"/>
      <c r="L166" s="310"/>
      <c r="M166" s="310"/>
    </row>
    <row r="167" spans="6:13" ht="14.5">
      <c r="F167" s="306" t="s">
        <v>191</v>
      </c>
      <c r="G167" s="307">
        <v>158</v>
      </c>
      <c r="H167" s="308">
        <v>71</v>
      </c>
      <c r="I167" s="308">
        <v>69</v>
      </c>
      <c r="J167" s="308">
        <v>72</v>
      </c>
      <c r="K167" s="314"/>
      <c r="L167" s="310"/>
      <c r="M167" s="310"/>
    </row>
    <row r="168" spans="6:16" ht="15">
      <c r="F168" s="143" t="s">
        <v>214</v>
      </c>
      <c r="G168" s="142">
        <v>80</v>
      </c>
      <c r="H168" s="142">
        <v>80</v>
      </c>
      <c r="I168" s="142">
        <v>127</v>
      </c>
      <c r="J168" s="326">
        <v>102</v>
      </c>
      <c r="K168" s="142">
        <v>150</v>
      </c>
      <c r="L168" s="142"/>
      <c r="M168" s="142"/>
      <c r="N168" s="142">
        <v>160</v>
      </c>
      <c r="O168" s="311">
        <v>209</v>
      </c>
      <c r="P168" s="142">
        <v>80</v>
      </c>
    </row>
    <row r="169" spans="6:16" ht="15">
      <c r="F169" s="143" t="s">
        <v>215</v>
      </c>
      <c r="G169" s="321">
        <f>G166+G167</f>
        <v>444</v>
      </c>
      <c r="H169" s="142">
        <f aca="true" t="shared" si="66" ref="H169:J169">H166+H167</f>
        <v>256</v>
      </c>
      <c r="I169" s="142">
        <f t="shared" si="66"/>
        <v>241</v>
      </c>
      <c r="J169" s="142">
        <f t="shared" si="66"/>
        <v>206</v>
      </c>
      <c r="K169" s="142">
        <v>90</v>
      </c>
      <c r="L169" s="142"/>
      <c r="M169" s="142"/>
      <c r="N169" s="142">
        <v>90</v>
      </c>
      <c r="O169" s="311">
        <v>141</v>
      </c>
      <c r="P169" s="142">
        <v>440</v>
      </c>
    </row>
    <row r="170" spans="6:16" ht="15">
      <c r="F170" s="143" t="s">
        <v>104</v>
      </c>
      <c r="G170" s="142">
        <f>SUM(G168:G169)</f>
        <v>524</v>
      </c>
      <c r="H170" s="142">
        <f>SUM(H168:H169)</f>
        <v>336</v>
      </c>
      <c r="I170" s="142">
        <f>SUM(I168:I169)</f>
        <v>368</v>
      </c>
      <c r="J170" s="142">
        <f>SUM(J168:J169)</f>
        <v>308</v>
      </c>
      <c r="K170" s="142">
        <f>SUM(K168:K169)</f>
        <v>240</v>
      </c>
      <c r="L170" s="142">
        <v>250</v>
      </c>
      <c r="M170" s="142">
        <v>492</v>
      </c>
      <c r="N170" s="142">
        <f>SUM(N168:N169)</f>
        <v>250</v>
      </c>
      <c r="O170" s="311">
        <f>SUM(O168:O169)</f>
        <v>350</v>
      </c>
      <c r="P170" s="142">
        <f>SUM(P168:P169)</f>
        <v>520</v>
      </c>
    </row>
    <row r="172" ht="15">
      <c r="O172" s="142">
        <v>2015</v>
      </c>
    </row>
    <row r="173" spans="1:15" ht="15">
      <c r="A173" s="143" t="s">
        <v>225</v>
      </c>
      <c r="O173" s="142">
        <v>201</v>
      </c>
    </row>
    <row r="174" spans="1:15" ht="15">
      <c r="A174" s="143" t="s">
        <v>226</v>
      </c>
      <c r="O174" s="142">
        <v>86</v>
      </c>
    </row>
    <row r="175" spans="13:15" ht="15">
      <c r="M175" s="142">
        <v>312</v>
      </c>
      <c r="O175" s="142">
        <f>SUM(O173:O174)</f>
        <v>287</v>
      </c>
    </row>
    <row r="176" ht="15">
      <c r="A176" s="143" t="s">
        <v>227</v>
      </c>
    </row>
    <row r="177" spans="1:17" ht="15">
      <c r="A177" s="143" t="s">
        <v>228</v>
      </c>
      <c r="F177" s="143">
        <f>24*1.55</f>
        <v>37.2</v>
      </c>
      <c r="M177" s="142">
        <f>M170/M175</f>
        <v>1.5769230769230769</v>
      </c>
      <c r="O177" s="142">
        <f>O170/O175</f>
        <v>1.2195121951219512</v>
      </c>
      <c r="P177" s="142">
        <f>POWER(1.13,6)</f>
        <v>2.0819517526089983</v>
      </c>
      <c r="Q177" s="251">
        <v>0.05</v>
      </c>
    </row>
    <row r="178" ht="15">
      <c r="M178" s="251">
        <v>0.12</v>
      </c>
    </row>
    <row r="179" spans="1:6" ht="15">
      <c r="A179" s="143" t="s">
        <v>229</v>
      </c>
      <c r="F179" s="143">
        <f>27/0.65</f>
        <v>41.53846153846154</v>
      </c>
    </row>
    <row r="180" spans="1:15" ht="15">
      <c r="A180" s="143" t="s">
        <v>230</v>
      </c>
      <c r="F180" s="143">
        <f>F179/F177</f>
        <v>1.1166253101736971</v>
      </c>
      <c r="O180" s="142">
        <v>2025</v>
      </c>
    </row>
    <row r="181" ht="15">
      <c r="O181" s="142">
        <v>115</v>
      </c>
    </row>
    <row r="182" ht="15">
      <c r="O182" s="142">
        <v>360</v>
      </c>
    </row>
    <row r="183" ht="15">
      <c r="O183" s="142">
        <f>SUM(O181:O182)</f>
        <v>475</v>
      </c>
    </row>
    <row r="185" ht="15">
      <c r="O185" s="142">
        <f>O183/O170</f>
        <v>1.3571428571428572</v>
      </c>
    </row>
    <row r="188" spans="1:15" ht="18">
      <c r="A188" s="300" t="s">
        <v>231</v>
      </c>
      <c r="B188" s="300"/>
      <c r="C188" s="300"/>
      <c r="D188" s="300"/>
      <c r="E188" s="300"/>
      <c r="G188" s="143" t="s">
        <v>232</v>
      </c>
      <c r="H188" s="143" t="s">
        <v>209</v>
      </c>
      <c r="I188" s="143" t="s">
        <v>176</v>
      </c>
      <c r="J188" s="143" t="s">
        <v>177</v>
      </c>
      <c r="K188" s="143" t="s">
        <v>208</v>
      </c>
      <c r="L188" s="143" t="s">
        <v>233</v>
      </c>
      <c r="M188" s="143" t="s">
        <v>89</v>
      </c>
      <c r="N188" s="143" t="s">
        <v>234</v>
      </c>
      <c r="O188" s="311" t="s">
        <v>181</v>
      </c>
    </row>
    <row r="189" spans="6:15" ht="73">
      <c r="F189" s="301" t="s">
        <v>207</v>
      </c>
      <c r="G189" s="142">
        <v>420</v>
      </c>
      <c r="H189" s="142">
        <v>200</v>
      </c>
      <c r="I189" s="142">
        <v>208</v>
      </c>
      <c r="J189" s="142">
        <v>288</v>
      </c>
      <c r="K189" s="142">
        <v>230</v>
      </c>
      <c r="L189" s="142">
        <v>306</v>
      </c>
      <c r="M189" s="142">
        <v>230</v>
      </c>
      <c r="N189" s="142"/>
      <c r="O189" s="311">
        <v>420</v>
      </c>
    </row>
    <row r="190" spans="6:15" ht="14.5">
      <c r="F190" s="327" t="s">
        <v>235</v>
      </c>
      <c r="G190" s="142"/>
      <c r="H190" s="142"/>
      <c r="I190" s="142"/>
      <c r="J190" s="142"/>
      <c r="K190" s="142"/>
      <c r="L190" s="142"/>
      <c r="M190" s="142"/>
      <c r="N190" s="142"/>
      <c r="O190" s="311">
        <f>O189/14100</f>
        <v>0.029787234042553193</v>
      </c>
    </row>
    <row r="191" spans="6:15" ht="29">
      <c r="F191" s="327" t="s">
        <v>236</v>
      </c>
      <c r="G191" s="142"/>
      <c r="H191" s="142"/>
      <c r="I191" s="142"/>
      <c r="J191" s="142"/>
      <c r="K191" s="142"/>
      <c r="L191" s="142"/>
      <c r="M191" s="142"/>
      <c r="N191" s="142">
        <v>17</v>
      </c>
      <c r="O191" s="311">
        <v>17</v>
      </c>
    </row>
    <row r="192" spans="6:15" ht="29">
      <c r="F192" s="327" t="s">
        <v>237</v>
      </c>
      <c r="G192" s="142"/>
      <c r="H192" s="142"/>
      <c r="I192" s="142"/>
      <c r="J192" s="142">
        <v>20</v>
      </c>
      <c r="K192" s="142"/>
      <c r="L192" s="142"/>
      <c r="M192" s="142"/>
      <c r="N192" s="142"/>
      <c r="O192" s="311">
        <v>17</v>
      </c>
    </row>
    <row r="193" spans="6:15" ht="14.5">
      <c r="F193" s="328" t="s">
        <v>238</v>
      </c>
      <c r="G193" s="142">
        <v>10</v>
      </c>
      <c r="H193" s="142">
        <v>0</v>
      </c>
      <c r="I193" s="142">
        <v>13</v>
      </c>
      <c r="J193" s="142">
        <v>4</v>
      </c>
      <c r="K193" s="142"/>
      <c r="L193" s="142">
        <v>7</v>
      </c>
      <c r="M193" s="142">
        <v>0</v>
      </c>
      <c r="N193" s="142">
        <v>2</v>
      </c>
      <c r="O193" s="311"/>
    </row>
    <row r="194" ht="15">
      <c r="O194" s="311"/>
    </row>
    <row r="195" ht="15">
      <c r="O195" s="311"/>
    </row>
    <row r="196" ht="15">
      <c r="O196" s="142">
        <f>429/208</f>
        <v>2.0625</v>
      </c>
    </row>
    <row r="197" ht="14">
      <c r="A197" s="143" t="s">
        <v>239</v>
      </c>
    </row>
    <row r="198" spans="1:23" ht="67.5">
      <c r="A198" s="329" t="s">
        <v>240</v>
      </c>
      <c r="B198" s="329"/>
      <c r="C198" s="329"/>
      <c r="D198" s="329"/>
      <c r="E198" s="329"/>
      <c r="F198" s="330">
        <v>2013</v>
      </c>
      <c r="G198" s="330">
        <v>2014</v>
      </c>
      <c r="H198" s="330">
        <v>2015</v>
      </c>
      <c r="I198" s="331">
        <v>2016</v>
      </c>
      <c r="J198" s="331">
        <v>2017</v>
      </c>
      <c r="K198" s="331">
        <v>2018</v>
      </c>
      <c r="L198" s="331">
        <v>2019</v>
      </c>
      <c r="M198" s="331">
        <v>2020</v>
      </c>
      <c r="N198" s="331">
        <v>2021</v>
      </c>
      <c r="O198" s="331">
        <v>2022</v>
      </c>
      <c r="P198" s="331">
        <v>2023</v>
      </c>
      <c r="Q198" s="331">
        <v>2024</v>
      </c>
      <c r="R198" s="332">
        <v>2025</v>
      </c>
      <c r="S198" s="150"/>
      <c r="T198" s="150"/>
      <c r="U198" s="150"/>
      <c r="V198" s="150"/>
      <c r="W198" s="150"/>
    </row>
    <row r="199" spans="1:23" ht="15">
      <c r="A199" s="143" t="s">
        <v>241</v>
      </c>
      <c r="F199" s="334">
        <v>2700</v>
      </c>
      <c r="G199" s="334">
        <v>3400</v>
      </c>
      <c r="H199" s="334">
        <v>4700</v>
      </c>
      <c r="I199" s="334">
        <v>6800</v>
      </c>
      <c r="J199" s="333">
        <v>9100</v>
      </c>
      <c r="K199" s="334">
        <v>11600</v>
      </c>
      <c r="L199" s="334">
        <v>14100</v>
      </c>
      <c r="M199" s="334">
        <v>17100</v>
      </c>
      <c r="N199" s="334">
        <v>20600</v>
      </c>
      <c r="O199" s="335">
        <f>O200+O201</f>
        <v>25204.1</v>
      </c>
      <c r="P199" s="335">
        <f aca="true" t="shared" si="67" ref="P199:R199">P200+P201</f>
        <v>30984.563000000002</v>
      </c>
      <c r="Q199" s="335">
        <f t="shared" si="67"/>
        <v>38267.66519</v>
      </c>
      <c r="R199" s="335">
        <f t="shared" si="67"/>
        <v>47474.1033647</v>
      </c>
      <c r="S199" s="335"/>
      <c r="T199" s="335"/>
      <c r="U199" s="335"/>
      <c r="V199" s="335"/>
      <c r="W199" s="335"/>
    </row>
    <row r="200" spans="1:23" ht="14.5">
      <c r="A200" s="143" t="s">
        <v>243</v>
      </c>
      <c r="F200" s="208">
        <f aca="true" t="shared" si="68" ref="F200:G200">F202*F199</f>
        <v>698.0325120000001</v>
      </c>
      <c r="G200" s="208">
        <f t="shared" si="68"/>
        <v>1008.032</v>
      </c>
      <c r="H200" s="142">
        <f>H202*H199</f>
        <v>1598.0000000000002</v>
      </c>
      <c r="I200" s="208">
        <f>I202*I199</f>
        <v>2652</v>
      </c>
      <c r="J200" s="208">
        <f aca="true" t="shared" si="69" ref="J200:M200">J202*J199</f>
        <v>3800.9790000000003</v>
      </c>
      <c r="K200" s="208">
        <f t="shared" si="69"/>
        <v>5189.213484</v>
      </c>
      <c r="L200" s="208">
        <f t="shared" si="69"/>
        <v>6755.416529588999</v>
      </c>
      <c r="M200" s="208">
        <f t="shared" si="69"/>
        <v>8774.423678336587</v>
      </c>
      <c r="N200" s="208">
        <f>N202*N199</f>
        <v>11330.000000000002</v>
      </c>
      <c r="O200" s="263">
        <f>N200*1.3</f>
        <v>14729.000000000004</v>
      </c>
      <c r="P200" s="263">
        <f aca="true" t="shared" si="70" ref="P200:R200">O200*1.3</f>
        <v>19147.700000000004</v>
      </c>
      <c r="Q200" s="263">
        <f t="shared" si="70"/>
        <v>24892.010000000006</v>
      </c>
      <c r="R200" s="336">
        <f t="shared" si="70"/>
        <v>32359.61300000001</v>
      </c>
      <c r="S200" s="263"/>
      <c r="T200" s="263"/>
      <c r="U200" s="263"/>
      <c r="V200" s="263"/>
      <c r="W200" s="263"/>
    </row>
    <row r="201" spans="1:23" ht="14.5">
      <c r="A201" s="143" t="s">
        <v>244</v>
      </c>
      <c r="F201" s="208">
        <f aca="true" t="shared" si="71" ref="F201:G201">F199-F200</f>
        <v>2001.9674879999998</v>
      </c>
      <c r="G201" s="208">
        <f t="shared" si="71"/>
        <v>2391.968</v>
      </c>
      <c r="H201" s="142">
        <f>H199-H200</f>
        <v>3102</v>
      </c>
      <c r="I201" s="208">
        <f>I199-I200</f>
        <v>4148</v>
      </c>
      <c r="J201" s="208">
        <f aca="true" t="shared" si="72" ref="J201:N201">J199-J200</f>
        <v>5299.021</v>
      </c>
      <c r="K201" s="208">
        <f t="shared" si="72"/>
        <v>6410.786516</v>
      </c>
      <c r="L201" s="208">
        <f t="shared" si="72"/>
        <v>7344.583470411001</v>
      </c>
      <c r="M201" s="208">
        <f t="shared" si="72"/>
        <v>8325.576321663413</v>
      </c>
      <c r="N201" s="208">
        <f t="shared" si="72"/>
        <v>9269.999999999998</v>
      </c>
      <c r="O201" s="263">
        <f>N201*1.13</f>
        <v>10475.099999999997</v>
      </c>
      <c r="P201" s="263">
        <f aca="true" t="shared" si="73" ref="P201:R201">O201*1.13</f>
        <v>11836.862999999996</v>
      </c>
      <c r="Q201" s="263">
        <f t="shared" si="73"/>
        <v>13375.655189999994</v>
      </c>
      <c r="R201" s="336">
        <f t="shared" si="73"/>
        <v>15114.490364699992</v>
      </c>
      <c r="S201" s="263"/>
      <c r="T201" s="263"/>
      <c r="U201" s="263"/>
      <c r="V201" s="263"/>
      <c r="W201" s="263"/>
    </row>
    <row r="202" spans="1:23" ht="15">
      <c r="A202" s="143" t="s">
        <v>245</v>
      </c>
      <c r="F202" s="337">
        <f>G202*0.872</f>
        <v>0.25853056</v>
      </c>
      <c r="G202" s="337">
        <f>H202*0.872</f>
        <v>0.29648</v>
      </c>
      <c r="H202" s="338">
        <v>0.34</v>
      </c>
      <c r="I202" s="338">
        <v>0.39</v>
      </c>
      <c r="J202" s="337">
        <f>I202*1.071</f>
        <v>0.41769</v>
      </c>
      <c r="K202" s="337">
        <f aca="true" t="shared" si="74" ref="K202:M202">J202*1.071</f>
        <v>0.44734598999999997</v>
      </c>
      <c r="L202" s="337">
        <f t="shared" si="74"/>
        <v>0.47910755528999993</v>
      </c>
      <c r="M202" s="337">
        <f t="shared" si="74"/>
        <v>0.5131241917155899</v>
      </c>
      <c r="N202" s="337">
        <v>0.55</v>
      </c>
      <c r="O202" s="339">
        <f>O200/O199</f>
        <v>0.5843890478136495</v>
      </c>
      <c r="P202" s="339">
        <f>P200/P199</f>
        <v>0.6179754737867371</v>
      </c>
      <c r="Q202" s="339">
        <f>Q200/Q199</f>
        <v>0.6504710929295137</v>
      </c>
      <c r="R202" s="339">
        <f>R200/R199</f>
        <v>0.6816266281305152</v>
      </c>
      <c r="S202" s="339"/>
      <c r="T202" s="339"/>
      <c r="U202" s="339"/>
      <c r="V202" s="339"/>
      <c r="W202" s="339"/>
    </row>
    <row r="203" spans="1:13" ht="15">
      <c r="A203" s="143" t="s">
        <v>246</v>
      </c>
      <c r="F203" s="142"/>
      <c r="G203" s="142"/>
      <c r="H203" s="142"/>
      <c r="I203" s="142"/>
      <c r="J203" s="142"/>
      <c r="K203" s="142"/>
      <c r="L203" s="142"/>
      <c r="M203" s="142"/>
    </row>
    <row r="204" spans="1:14" ht="15">
      <c r="A204" s="143" t="s">
        <v>247</v>
      </c>
      <c r="F204" s="340">
        <f aca="true" t="shared" si="75" ref="F204:J204">F205/F200</f>
        <v>0.027453119465315312</v>
      </c>
      <c r="G204" s="340">
        <f t="shared" si="75"/>
        <v>0.02359200293123551</v>
      </c>
      <c r="H204" s="340">
        <f t="shared" si="75"/>
        <v>0.018468606963945543</v>
      </c>
      <c r="I204" s="340">
        <f t="shared" si="75"/>
        <v>0.013810492799821179</v>
      </c>
      <c r="J204" s="340">
        <f t="shared" si="75"/>
        <v>0.011958012603926798</v>
      </c>
      <c r="K204" s="340">
        <f>K205/K200</f>
        <v>0.010869879273109706</v>
      </c>
      <c r="L204" s="340">
        <f>L205/L200</f>
        <v>0.010362055351198132</v>
      </c>
      <c r="M204" s="340"/>
      <c r="N204" s="340"/>
    </row>
    <row r="205" spans="1:13" ht="15">
      <c r="A205" s="143" t="s">
        <v>248</v>
      </c>
      <c r="F205" s="208">
        <f aca="true" t="shared" si="76" ref="F205:J205">G205/1.241</f>
        <v>19.163169942610146</v>
      </c>
      <c r="G205" s="208">
        <f t="shared" si="76"/>
        <v>23.781493898779193</v>
      </c>
      <c r="H205" s="208">
        <f t="shared" si="76"/>
        <v>29.512833928384982</v>
      </c>
      <c r="I205" s="208">
        <f>J205/1.241</f>
        <v>36.625426905125764</v>
      </c>
      <c r="J205" s="208">
        <f t="shared" si="76"/>
        <v>45.45215478926108</v>
      </c>
      <c r="K205" s="208">
        <f>L205/1.241</f>
        <v>56.406124093473004</v>
      </c>
      <c r="L205" s="208">
        <v>70</v>
      </c>
      <c r="M205" s="142"/>
    </row>
    <row r="206" spans="1:13" ht="15">
      <c r="A206" s="143" t="s">
        <v>249</v>
      </c>
      <c r="F206" s="208"/>
      <c r="G206" s="208"/>
      <c r="H206" s="208"/>
      <c r="I206" s="208"/>
      <c r="J206" s="208"/>
      <c r="K206" s="208"/>
      <c r="L206" s="208"/>
      <c r="M206" s="142"/>
    </row>
    <row r="207" spans="1:14" ht="15">
      <c r="A207" s="143" t="s">
        <v>250</v>
      </c>
      <c r="F207" s="340">
        <f aca="true" t="shared" si="77" ref="F207:K207">F208/F201</f>
        <v>0.11780252749908288</v>
      </c>
      <c r="G207" s="340">
        <f t="shared" si="77"/>
        <v>0.10293553513308741</v>
      </c>
      <c r="H207" s="340">
        <f t="shared" si="77"/>
        <v>0.08300682336286752</v>
      </c>
      <c r="I207" s="340">
        <f t="shared" si="77"/>
        <v>0.06711055281940073</v>
      </c>
      <c r="J207" s="340">
        <f t="shared" si="77"/>
        <v>0.05747247372877724</v>
      </c>
      <c r="K207" s="340">
        <f t="shared" si="77"/>
        <v>0.05125640591625138</v>
      </c>
      <c r="L207" s="340">
        <f>L208/L201</f>
        <v>0.04765416601363972</v>
      </c>
      <c r="M207" s="142"/>
      <c r="N207" s="340"/>
    </row>
    <row r="208" spans="1:13" ht="15">
      <c r="A208" s="143" t="s">
        <v>251</v>
      </c>
      <c r="F208" s="341">
        <f>F218-F205</f>
        <v>235.83683005738985</v>
      </c>
      <c r="G208" s="208">
        <f aca="true" t="shared" si="78" ref="G208:L208">G218-G205</f>
        <v>246.2185061012208</v>
      </c>
      <c r="H208" s="208">
        <f t="shared" si="78"/>
        <v>257.48716607161504</v>
      </c>
      <c r="I208" s="208">
        <f t="shared" si="78"/>
        <v>278.3745730948742</v>
      </c>
      <c r="J208" s="208">
        <f t="shared" si="78"/>
        <v>304.5478452107389</v>
      </c>
      <c r="K208" s="208">
        <f t="shared" si="78"/>
        <v>328.593875906527</v>
      </c>
      <c r="L208" s="208">
        <f t="shared" si="78"/>
        <v>350</v>
      </c>
      <c r="M208" s="142"/>
    </row>
    <row r="209" spans="6:13" ht="15">
      <c r="F209" s="142"/>
      <c r="G209" s="142"/>
      <c r="H209" s="142"/>
      <c r="I209" s="142"/>
      <c r="J209" s="142"/>
      <c r="K209" s="142"/>
      <c r="L209" s="142"/>
      <c r="M209" s="142"/>
    </row>
    <row r="210" spans="6:13" ht="15">
      <c r="F210" s="142"/>
      <c r="G210" s="142"/>
      <c r="H210" s="142"/>
      <c r="I210" s="142"/>
      <c r="J210" s="142"/>
      <c r="K210" s="142"/>
      <c r="L210" s="142"/>
      <c r="M210" s="142"/>
    </row>
    <row r="211" spans="6:13" ht="15">
      <c r="F211" s="142"/>
      <c r="G211" s="142"/>
      <c r="H211" s="142"/>
      <c r="I211" s="142"/>
      <c r="J211" s="142"/>
      <c r="K211" s="142"/>
      <c r="L211" s="142"/>
      <c r="M211" s="142"/>
    </row>
    <row r="213" ht="12.75"/>
    <row r="214" ht="12.75"/>
    <row r="215" ht="12.75"/>
    <row r="216" spans="6:13" ht="15">
      <c r="F216" s="331">
        <v>2013</v>
      </c>
      <c r="G216" s="331">
        <v>2014</v>
      </c>
      <c r="H216" s="331">
        <v>2015</v>
      </c>
      <c r="I216" s="331">
        <v>2016</v>
      </c>
      <c r="J216" s="331">
        <v>2017</v>
      </c>
      <c r="K216" s="331">
        <v>2018</v>
      </c>
      <c r="L216" s="331">
        <v>2019</v>
      </c>
      <c r="M216" s="142" t="s">
        <v>252</v>
      </c>
    </row>
    <row r="217" ht="12.75"/>
    <row r="218" spans="1:14" ht="12.75">
      <c r="A218" s="143" t="s">
        <v>253</v>
      </c>
      <c r="F218" s="142">
        <v>255</v>
      </c>
      <c r="G218" s="142">
        <v>270</v>
      </c>
      <c r="H218" s="142">
        <v>287</v>
      </c>
      <c r="I218" s="142">
        <v>315</v>
      </c>
      <c r="J218" s="142">
        <v>350</v>
      </c>
      <c r="K218" s="142">
        <v>385</v>
      </c>
      <c r="L218" s="142">
        <v>420</v>
      </c>
      <c r="M218" s="251">
        <v>0.09</v>
      </c>
      <c r="N218" s="142">
        <f>POWER(1.09,5)</f>
        <v>1.5386239549000005</v>
      </c>
    </row>
    <row r="219" spans="1:12" ht="12.75">
      <c r="A219" s="143" t="s">
        <v>254</v>
      </c>
      <c r="F219" s="321">
        <f aca="true" t="shared" si="79" ref="F219:L219">F218/F136</f>
        <v>0.09444444444444444</v>
      </c>
      <c r="G219" s="321">
        <f t="shared" si="79"/>
        <v>0.07941176470588235</v>
      </c>
      <c r="H219" s="321">
        <f t="shared" si="79"/>
        <v>0.06106382978723404</v>
      </c>
      <c r="I219" s="321">
        <f t="shared" si="79"/>
        <v>0.04632352941176471</v>
      </c>
      <c r="J219" s="321">
        <f t="shared" si="79"/>
        <v>0.038461538461538464</v>
      </c>
      <c r="K219" s="321">
        <f t="shared" si="79"/>
        <v>0.03318965517241379</v>
      </c>
      <c r="L219" s="321">
        <f t="shared" si="79"/>
        <v>0.029787234042553193</v>
      </c>
    </row>
    <row r="220" spans="1:12" ht="12.75">
      <c r="A220" s="143" t="s">
        <v>255</v>
      </c>
      <c r="F220" s="142"/>
      <c r="G220" s="142">
        <f>G219/F219</f>
        <v>0.8408304498269896</v>
      </c>
      <c r="H220" s="142">
        <f aca="true" t="shared" si="80" ref="H220:L220">H219/G219</f>
        <v>0.7689519306540583</v>
      </c>
      <c r="I220" s="142">
        <f t="shared" si="80"/>
        <v>0.7586083213773315</v>
      </c>
      <c r="J220" s="142">
        <f>J219/I219</f>
        <v>0.8302808302808303</v>
      </c>
      <c r="K220" s="142">
        <f t="shared" si="80"/>
        <v>0.8629310344827585</v>
      </c>
      <c r="L220" s="142">
        <f t="shared" si="80"/>
        <v>0.8974854932301742</v>
      </c>
    </row>
    <row r="221" spans="1:12" ht="12.75">
      <c r="A221" s="143" t="s">
        <v>256</v>
      </c>
      <c r="F221" s="142"/>
      <c r="G221" s="142"/>
      <c r="H221" s="142"/>
      <c r="I221" s="142"/>
      <c r="J221" s="142"/>
      <c r="K221" s="142"/>
      <c r="L221" s="142">
        <f>L219/H219</f>
        <v>0.48780487804878053</v>
      </c>
    </row>
    <row r="222" ht="12.75">
      <c r="A222" s="143">
        <f>POWER(0.83,4)</f>
        <v>0.4745832099999999</v>
      </c>
    </row>
    <row r="223" ht="12.75"/>
    <row r="224" ht="12.75"/>
    <row r="225" ht="12.75"/>
    <row r="226" ht="12.75"/>
    <row r="227" ht="12.75"/>
    <row r="228" spans="1:9" ht="12.75">
      <c r="A228" s="143" t="s">
        <v>257</v>
      </c>
      <c r="F228" s="143">
        <v>2018</v>
      </c>
      <c r="G228" s="143">
        <v>2019</v>
      </c>
      <c r="H228" s="143">
        <v>2023</v>
      </c>
      <c r="I228" s="143" t="s">
        <v>258</v>
      </c>
    </row>
    <row r="229" spans="6:10" ht="12.75">
      <c r="F229" s="142">
        <v>161</v>
      </c>
      <c r="G229" s="142">
        <v>178</v>
      </c>
      <c r="H229" s="142">
        <v>267</v>
      </c>
      <c r="I229" s="342">
        <v>0.105</v>
      </c>
      <c r="J229" s="143">
        <f>POWER(1.07,5)</f>
        <v>1.4025517307000002</v>
      </c>
    </row>
    <row r="230" ht="12.75"/>
    <row r="231" ht="12.75"/>
    <row r="232" spans="1:9" ht="12.75">
      <c r="A232" s="143" t="s">
        <v>259</v>
      </c>
      <c r="F232" s="208">
        <v>78</v>
      </c>
      <c r="G232" s="208">
        <f>1.05*F232</f>
        <v>81.9</v>
      </c>
      <c r="H232" s="208">
        <f>1.05*1.05*1.05*1.05*G232</f>
        <v>99.54996187500002</v>
      </c>
      <c r="I232" s="251">
        <v>0.05</v>
      </c>
    </row>
    <row r="233" spans="6:15" ht="12.75">
      <c r="F233" s="341"/>
      <c r="G233" s="341"/>
      <c r="H233" s="341"/>
      <c r="O233" s="142" t="s">
        <v>260</v>
      </c>
    </row>
    <row r="234" spans="1:9" ht="12.75">
      <c r="A234" s="143" t="s">
        <v>261</v>
      </c>
      <c r="F234" s="208">
        <v>73</v>
      </c>
      <c r="G234" s="208">
        <v>73</v>
      </c>
      <c r="H234" s="208">
        <v>73</v>
      </c>
      <c r="I234" s="251">
        <v>0</v>
      </c>
    </row>
    <row r="235" spans="6:9" ht="12.75">
      <c r="F235" s="208"/>
      <c r="G235" s="208"/>
      <c r="H235" s="208"/>
      <c r="I235" s="142"/>
    </row>
    <row r="236" spans="1:9" ht="12.75">
      <c r="A236" s="143" t="s">
        <v>262</v>
      </c>
      <c r="F236" s="343">
        <f>G236/1.08</f>
        <v>74.07407407407408</v>
      </c>
      <c r="G236" s="344">
        <v>80</v>
      </c>
      <c r="H236" s="343">
        <f>1.08*1.08*1.08*1.08*G236</f>
        <v>108.83911680000003</v>
      </c>
      <c r="I236" s="345">
        <v>0.08</v>
      </c>
    </row>
    <row r="237" spans="6:9" ht="12.75">
      <c r="F237" s="208"/>
      <c r="G237" s="208"/>
      <c r="H237" s="208"/>
      <c r="I237" s="142"/>
    </row>
    <row r="238" spans="1:9" ht="12.75">
      <c r="A238" s="143" t="s">
        <v>104</v>
      </c>
      <c r="F238" s="208">
        <f>F229+F232+F234+F236</f>
        <v>386.0740740740741</v>
      </c>
      <c r="G238" s="208">
        <f>G229+G232+G234+G236</f>
        <v>412.9</v>
      </c>
      <c r="H238" s="208">
        <f>H229+H232+H234+H236</f>
        <v>548.3890786750001</v>
      </c>
      <c r="I238" s="346">
        <v>0.075</v>
      </c>
    </row>
    <row r="239" spans="6:9" ht="12.75">
      <c r="F239" s="142"/>
      <c r="G239" s="142"/>
      <c r="H239" s="142"/>
      <c r="I239" s="142"/>
    </row>
    <row r="240" spans="6:9" ht="12.75">
      <c r="F240" s="142"/>
      <c r="G240" s="142"/>
      <c r="H240" s="142"/>
      <c r="I240" s="142"/>
    </row>
    <row r="241" ht="12.75"/>
    <row r="242" ht="12.75"/>
    <row r="243" ht="12.75"/>
    <row r="244" spans="1:6" ht="63.75">
      <c r="A244" s="347" t="s">
        <v>263</v>
      </c>
      <c r="B244" s="347"/>
      <c r="C244" s="347"/>
      <c r="D244" s="347"/>
      <c r="E244" s="347"/>
      <c r="F244" s="143">
        <f>252*0.5*365*24</f>
        <v>1103760</v>
      </c>
    </row>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6" spans="1:5" ht="17.5">
      <c r="A266" s="300" t="s">
        <v>264</v>
      </c>
      <c r="B266" s="300"/>
      <c r="C266" s="300"/>
      <c r="D266" s="300"/>
      <c r="E266" s="300"/>
    </row>
    <row r="267" ht="14">
      <c r="J267" s="143" t="s">
        <v>234</v>
      </c>
    </row>
    <row r="268" spans="1:10" ht="14.5">
      <c r="A268" s="348" t="s">
        <v>74</v>
      </c>
      <c r="B268" s="157"/>
      <c r="C268" s="157"/>
      <c r="D268" s="157"/>
      <c r="E268" s="157"/>
      <c r="J268" s="349" t="s">
        <v>30</v>
      </c>
    </row>
    <row r="269" spans="1:10" ht="14.5">
      <c r="A269" s="348" t="s">
        <v>76</v>
      </c>
      <c r="B269" s="157"/>
      <c r="C269" s="157"/>
      <c r="D269" s="157"/>
      <c r="E269" s="157"/>
      <c r="J269" s="350" t="s">
        <v>265</v>
      </c>
    </row>
    <row r="270" spans="1:10" ht="14.5">
      <c r="A270" s="348" t="s">
        <v>78</v>
      </c>
      <c r="B270" s="157"/>
      <c r="C270" s="157"/>
      <c r="D270" s="157"/>
      <c r="E270" s="157"/>
      <c r="J270" s="350" t="s">
        <v>266</v>
      </c>
    </row>
    <row r="271" spans="1:10" ht="14.5">
      <c r="A271" s="348" t="s">
        <v>30</v>
      </c>
      <c r="B271" s="157"/>
      <c r="C271" s="157"/>
      <c r="D271" s="157"/>
      <c r="E271" s="157"/>
      <c r="J271" s="350" t="s">
        <v>267</v>
      </c>
    </row>
    <row r="272" spans="1:10" ht="14.5">
      <c r="A272" s="348" t="s">
        <v>84</v>
      </c>
      <c r="B272" s="157"/>
      <c r="C272" s="157"/>
      <c r="D272" s="157"/>
      <c r="E272" s="157"/>
      <c r="J272" s="350" t="s">
        <v>268</v>
      </c>
    </row>
    <row r="273" spans="1:10" ht="14.5">
      <c r="A273" s="348" t="s">
        <v>86</v>
      </c>
      <c r="B273" s="157"/>
      <c r="C273" s="157"/>
      <c r="D273" s="157"/>
      <c r="E273" s="157"/>
      <c r="J273" s="350" t="s">
        <v>90</v>
      </c>
    </row>
    <row r="274" spans="1:10" ht="14.5">
      <c r="A274" s="351" t="s">
        <v>269</v>
      </c>
      <c r="B274" s="352"/>
      <c r="C274" s="352"/>
      <c r="D274" s="352"/>
      <c r="E274" s="352"/>
      <c r="J274" s="350" t="s">
        <v>270</v>
      </c>
    </row>
    <row r="275" spans="1:10" ht="14.5">
      <c r="A275" s="348" t="s">
        <v>88</v>
      </c>
      <c r="B275" s="157"/>
      <c r="C275" s="157"/>
      <c r="D275" s="157"/>
      <c r="E275" s="157"/>
      <c r="J275" s="350" t="s">
        <v>271</v>
      </c>
    </row>
    <row r="276" spans="1:10" ht="14.5">
      <c r="A276" s="348" t="s">
        <v>90</v>
      </c>
      <c r="B276" s="157"/>
      <c r="C276" s="157"/>
      <c r="D276" s="157"/>
      <c r="E276" s="157"/>
      <c r="J276" s="350" t="s">
        <v>272</v>
      </c>
    </row>
    <row r="277" spans="1:10" ht="14.5">
      <c r="A277" s="353" t="s">
        <v>273</v>
      </c>
      <c r="B277" s="354"/>
      <c r="C277" s="354"/>
      <c r="D277" s="354"/>
      <c r="E277" s="354"/>
      <c r="J277" s="350" t="s">
        <v>274</v>
      </c>
    </row>
    <row r="278" spans="1:10" ht="14.5">
      <c r="A278" s="353" t="s">
        <v>275</v>
      </c>
      <c r="B278" s="354"/>
      <c r="C278" s="354"/>
      <c r="D278" s="354"/>
      <c r="E278" s="354"/>
      <c r="J278" s="355" t="s">
        <v>276</v>
      </c>
    </row>
    <row r="279" spans="1:10" ht="14.5">
      <c r="A279" s="353" t="s">
        <v>277</v>
      </c>
      <c r="B279" s="354"/>
      <c r="C279" s="354"/>
      <c r="D279" s="354"/>
      <c r="E279" s="354"/>
      <c r="J279" s="350" t="s">
        <v>278</v>
      </c>
    </row>
    <row r="280" spans="1:10" ht="15">
      <c r="A280" s="356" t="s">
        <v>279</v>
      </c>
      <c r="B280" s="354"/>
      <c r="C280" s="354"/>
      <c r="D280" s="354"/>
      <c r="E280" s="354"/>
      <c r="J280" s="350" t="s">
        <v>280</v>
      </c>
    </row>
    <row r="281" spans="1:10" ht="108">
      <c r="A281" s="143" t="s">
        <v>94</v>
      </c>
      <c r="J281" s="357" t="s">
        <v>281</v>
      </c>
    </row>
    <row r="282" spans="1:10" ht="40.5">
      <c r="A282" s="143" t="s">
        <v>282</v>
      </c>
      <c r="J282" s="357" t="s">
        <v>283</v>
      </c>
    </row>
    <row r="283" ht="15">
      <c r="A283" s="143" t="s">
        <v>284</v>
      </c>
    </row>
    <row r="284" ht="15">
      <c r="A284" s="143" t="s">
        <v>33</v>
      </c>
    </row>
    <row r="285" ht="15">
      <c r="A285" s="143" t="s">
        <v>5</v>
      </c>
    </row>
    <row r="286" spans="1:10" ht="15">
      <c r="A286" s="143" t="s">
        <v>285</v>
      </c>
      <c r="J286" s="142"/>
    </row>
    <row r="287" ht="15">
      <c r="A287" s="143" t="s">
        <v>79</v>
      </c>
    </row>
    <row r="289" ht="15">
      <c r="A289" s="143" t="s">
        <v>286</v>
      </c>
    </row>
    <row r="291" ht="15">
      <c r="A291" s="143" t="s">
        <v>74</v>
      </c>
    </row>
    <row r="292" ht="15">
      <c r="A292" s="143" t="s">
        <v>76</v>
      </c>
    </row>
    <row r="293" spans="1:11" ht="15">
      <c r="A293" s="143" t="s">
        <v>78</v>
      </c>
      <c r="K293" s="143" t="s">
        <v>287</v>
      </c>
    </row>
    <row r="294" ht="12.75">
      <c r="A294" s="143" t="s">
        <v>79</v>
      </c>
    </row>
    <row r="295" ht="12.75">
      <c r="A295" s="143" t="s">
        <v>288</v>
      </c>
    </row>
    <row r="296" ht="12.75">
      <c r="A296" s="143" t="s">
        <v>30</v>
      </c>
    </row>
    <row r="297" ht="12.75">
      <c r="A297" s="143" t="s">
        <v>84</v>
      </c>
    </row>
    <row r="298" ht="12.75">
      <c r="A298" s="143" t="s">
        <v>86</v>
      </c>
    </row>
    <row r="299" ht="12.75">
      <c r="A299" s="143" t="s">
        <v>88</v>
      </c>
    </row>
    <row r="300" ht="12.75">
      <c r="A300" s="143" t="s">
        <v>90</v>
      </c>
    </row>
    <row r="301" ht="12.75">
      <c r="A301" s="143" t="s">
        <v>273</v>
      </c>
    </row>
    <row r="302" ht="12.75">
      <c r="A302" s="143" t="s">
        <v>94</v>
      </c>
    </row>
    <row r="303" ht="12.75">
      <c r="A303" s="143" t="s">
        <v>277</v>
      </c>
    </row>
    <row r="304" ht="12.75">
      <c r="A304" s="143" t="s">
        <v>5</v>
      </c>
    </row>
    <row r="305" ht="12.75">
      <c r="A305" s="143" t="s">
        <v>33</v>
      </c>
    </row>
    <row r="306" ht="12.75">
      <c r="A306" s="143" t="s">
        <v>285</v>
      </c>
    </row>
    <row r="307" ht="12.75"/>
    <row r="308" ht="12.75"/>
    <row r="309" ht="12.75"/>
    <row r="310" ht="12.75">
      <c r="A310" s="143" t="s">
        <v>289</v>
      </c>
    </row>
    <row r="311" ht="12.75"/>
    <row r="312" ht="12.75"/>
    <row r="313" ht="12.75"/>
    <row r="314" ht="12.75"/>
    <row r="315" ht="12.75"/>
    <row r="316" ht="12.75"/>
    <row r="317" ht="12.75">
      <c r="A317" s="142"/>
    </row>
    <row r="318" ht="12.75"/>
    <row r="319" ht="12.75"/>
    <row r="320" ht="12.75"/>
    <row r="321" ht="12.75"/>
    <row r="322" ht="12.75"/>
    <row r="323" ht="12.75"/>
    <row r="324" ht="12.75">
      <c r="I324" s="142"/>
    </row>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8" spans="8:15" ht="15">
      <c r="H358" s="143" t="s">
        <v>290</v>
      </c>
      <c r="I358" s="143">
        <f>0.3*15</f>
        <v>4.5</v>
      </c>
      <c r="J358" s="143">
        <f>0.34*16.3</f>
        <v>5.542000000000001</v>
      </c>
      <c r="L358" s="143">
        <v>6.1</v>
      </c>
      <c r="M358" s="142" t="s">
        <v>291</v>
      </c>
      <c r="N358" s="142">
        <v>10.6</v>
      </c>
      <c r="O358" s="142" t="s">
        <v>292</v>
      </c>
    </row>
    <row r="361" spans="2:6" ht="15">
      <c r="B361" s="143" t="s">
        <v>293</v>
      </c>
      <c r="C361" s="143" t="s">
        <v>294</v>
      </c>
      <c r="F361" s="143" t="s">
        <v>295</v>
      </c>
    </row>
    <row r="362" spans="1:7" ht="15">
      <c r="A362" s="143">
        <v>2019</v>
      </c>
      <c r="B362" s="143">
        <v>584</v>
      </c>
      <c r="C362" s="143">
        <f>1000*B362/3.6</f>
        <v>162222.22222222222</v>
      </c>
      <c r="F362" s="143">
        <v>34.169</v>
      </c>
      <c r="G362" s="143">
        <f>F362*1000/C362</f>
        <v>0.21063082191780821</v>
      </c>
    </row>
    <row r="366" ht="15">
      <c r="A366" s="143" t="s">
        <v>296</v>
      </c>
    </row>
    <row r="368" spans="1:13" ht="15">
      <c r="A368" s="143">
        <v>2019</v>
      </c>
      <c r="B368" s="143" t="s">
        <v>297</v>
      </c>
      <c r="C368" s="143" t="s">
        <v>298</v>
      </c>
      <c r="F368" s="143" t="s">
        <v>299</v>
      </c>
      <c r="G368" s="143" t="s">
        <v>300</v>
      </c>
      <c r="H368" s="143" t="s">
        <v>301</v>
      </c>
      <c r="I368" s="143" t="s">
        <v>302</v>
      </c>
      <c r="J368" s="143" t="s">
        <v>303</v>
      </c>
      <c r="K368" s="143" t="s">
        <v>304</v>
      </c>
      <c r="L368" s="143" t="s">
        <v>305</v>
      </c>
      <c r="M368" s="143" t="s">
        <v>306</v>
      </c>
    </row>
    <row r="369" spans="1:13" ht="14.5">
      <c r="A369" s="348" t="s">
        <v>74</v>
      </c>
      <c r="B369" s="341">
        <v>639.4000000000001</v>
      </c>
      <c r="C369" s="341">
        <f aca="true" t="shared" si="81" ref="C369:C385">0.6*B369</f>
        <v>383.64000000000004</v>
      </c>
      <c r="D369" s="341"/>
      <c r="E369" s="341"/>
      <c r="F369" s="341">
        <v>700</v>
      </c>
      <c r="G369" s="341"/>
      <c r="H369" s="341"/>
      <c r="I369" s="341">
        <v>95</v>
      </c>
      <c r="J369" s="341">
        <v>300</v>
      </c>
      <c r="K369" s="338">
        <f aca="true" t="shared" si="82" ref="K369:K374">I369/L369</f>
        <v>0.16272696128811234</v>
      </c>
      <c r="L369" s="143">
        <f>0.278*6*350</f>
        <v>583.8000000000001</v>
      </c>
      <c r="M369" s="142" t="s">
        <v>121</v>
      </c>
    </row>
    <row r="370" spans="1:13" ht="14.5">
      <c r="A370" s="348" t="s">
        <v>76</v>
      </c>
      <c r="B370" s="341">
        <v>417.00000000000006</v>
      </c>
      <c r="C370" s="341">
        <f t="shared" si="81"/>
        <v>250.20000000000002</v>
      </c>
      <c r="D370" s="341"/>
      <c r="E370" s="341"/>
      <c r="F370" s="341">
        <v>490</v>
      </c>
      <c r="G370" s="341"/>
      <c r="H370" s="341"/>
      <c r="I370" s="341">
        <v>225</v>
      </c>
      <c r="J370" s="341">
        <v>250</v>
      </c>
      <c r="K370" s="338">
        <f t="shared" si="82"/>
        <v>0.6225788599889319</v>
      </c>
      <c r="L370" s="143">
        <f>0.278*200*6.5</f>
        <v>361.40000000000003</v>
      </c>
      <c r="M370" s="142" t="s">
        <v>122</v>
      </c>
    </row>
    <row r="371" spans="1:13" ht="14.5">
      <c r="A371" s="348" t="s">
        <v>78</v>
      </c>
      <c r="B371" s="341">
        <v>973.0000000000001</v>
      </c>
      <c r="C371" s="341">
        <f t="shared" si="81"/>
        <v>583.8000000000001</v>
      </c>
      <c r="D371" s="341"/>
      <c r="E371" s="341"/>
      <c r="F371" s="341">
        <v>300</v>
      </c>
      <c r="G371" s="341"/>
      <c r="H371" s="341"/>
      <c r="I371" s="341">
        <v>160</v>
      </c>
      <c r="J371" s="341">
        <v>335</v>
      </c>
      <c r="K371" s="338">
        <f t="shared" si="82"/>
        <v>0.35971223021582727</v>
      </c>
      <c r="L371" s="143">
        <f>0.278*1600</f>
        <v>444.80000000000007</v>
      </c>
      <c r="M371" s="142" t="s">
        <v>307</v>
      </c>
    </row>
    <row r="372" spans="1:13" ht="14.5">
      <c r="A372" s="348" t="s">
        <v>79</v>
      </c>
      <c r="B372" s="341">
        <v>806.2</v>
      </c>
      <c r="C372" s="341">
        <f t="shared" si="81"/>
        <v>483.72</v>
      </c>
      <c r="D372" s="341"/>
      <c r="E372" s="341"/>
      <c r="F372" s="341"/>
      <c r="G372" s="341"/>
      <c r="H372" s="341"/>
      <c r="I372" s="341">
        <v>120</v>
      </c>
      <c r="J372" s="341">
        <v>145</v>
      </c>
      <c r="K372" s="338"/>
      <c r="M372" s="142" t="s">
        <v>116</v>
      </c>
    </row>
    <row r="373" spans="1:13" ht="14.5">
      <c r="A373" s="348" t="s">
        <v>81</v>
      </c>
      <c r="B373" s="341">
        <v>287.73</v>
      </c>
      <c r="C373" s="341">
        <f t="shared" si="81"/>
        <v>172.638</v>
      </c>
      <c r="D373" s="341"/>
      <c r="E373" s="341"/>
      <c r="F373" s="341"/>
      <c r="G373" s="341"/>
      <c r="H373" s="341"/>
      <c r="I373" s="341">
        <v>70</v>
      </c>
      <c r="J373" s="341">
        <v>145</v>
      </c>
      <c r="K373" s="338"/>
      <c r="M373" s="142" t="s">
        <v>116</v>
      </c>
    </row>
    <row r="374" spans="1:13" ht="14.5">
      <c r="A374" s="348" t="s">
        <v>30</v>
      </c>
      <c r="B374" s="341">
        <v>159.46080000000003</v>
      </c>
      <c r="C374" s="341">
        <f t="shared" si="81"/>
        <v>95.67648000000001</v>
      </c>
      <c r="D374" s="341"/>
      <c r="E374" s="341"/>
      <c r="F374" s="341">
        <v>60</v>
      </c>
      <c r="G374" s="341" t="s">
        <v>308</v>
      </c>
      <c r="H374" s="341" t="s">
        <v>309</v>
      </c>
      <c r="I374" s="341">
        <v>35</v>
      </c>
      <c r="J374" s="341">
        <v>60</v>
      </c>
      <c r="K374" s="338">
        <f t="shared" si="82"/>
        <v>0.31474820143884885</v>
      </c>
      <c r="L374" s="143">
        <f>400*0.278</f>
        <v>111.20000000000002</v>
      </c>
      <c r="M374" s="142" t="s">
        <v>123</v>
      </c>
    </row>
    <row r="375" spans="1:13" ht="14.5">
      <c r="A375" s="348" t="s">
        <v>84</v>
      </c>
      <c r="B375" s="341">
        <v>221.84400000000005</v>
      </c>
      <c r="C375" s="341">
        <f t="shared" si="81"/>
        <v>133.10640000000004</v>
      </c>
      <c r="D375" s="341"/>
      <c r="E375" s="341"/>
      <c r="F375" s="341" t="s">
        <v>310</v>
      </c>
      <c r="G375" s="341"/>
      <c r="H375" s="341" t="s">
        <v>311</v>
      </c>
      <c r="I375" s="341">
        <v>60</v>
      </c>
      <c r="J375" s="341">
        <v>63</v>
      </c>
      <c r="K375" s="338"/>
      <c r="M375" s="142" t="s">
        <v>116</v>
      </c>
    </row>
    <row r="376" spans="1:13" ht="14.5">
      <c r="A376" s="348" t="s">
        <v>86</v>
      </c>
      <c r="B376" s="341">
        <v>30</v>
      </c>
      <c r="C376" s="341">
        <f t="shared" si="81"/>
        <v>18</v>
      </c>
      <c r="D376" s="341"/>
      <c r="E376" s="341"/>
      <c r="F376" s="341"/>
      <c r="G376" s="341"/>
      <c r="H376" s="341"/>
      <c r="I376" s="341">
        <v>16</v>
      </c>
      <c r="J376" s="341"/>
      <c r="K376" s="338"/>
      <c r="M376" s="142" t="s">
        <v>97</v>
      </c>
    </row>
    <row r="377" spans="1:13" ht="14.5">
      <c r="A377" s="348" t="s">
        <v>88</v>
      </c>
      <c r="B377" s="341">
        <v>5</v>
      </c>
      <c r="C377" s="341">
        <f t="shared" si="81"/>
        <v>3</v>
      </c>
      <c r="D377" s="341"/>
      <c r="E377" s="341"/>
      <c r="F377" s="341"/>
      <c r="G377" s="341"/>
      <c r="H377" s="341"/>
      <c r="I377" s="341"/>
      <c r="J377" s="341"/>
      <c r="K377" s="338"/>
      <c r="M377" s="142" t="s">
        <v>97</v>
      </c>
    </row>
    <row r="378" spans="1:13" ht="14.5">
      <c r="A378" s="348" t="s">
        <v>90</v>
      </c>
      <c r="B378" s="341">
        <v>695.0000000000001</v>
      </c>
      <c r="C378" s="341">
        <f t="shared" si="81"/>
        <v>417.00000000000006</v>
      </c>
      <c r="D378" s="341"/>
      <c r="E378" s="341"/>
      <c r="F378" s="341"/>
      <c r="G378" s="341"/>
      <c r="H378" s="341"/>
      <c r="I378" s="341">
        <v>460</v>
      </c>
      <c r="J378" s="341">
        <v>420</v>
      </c>
      <c r="K378" s="338"/>
      <c r="M378" s="142" t="s">
        <v>312</v>
      </c>
    </row>
    <row r="379" spans="1:13" ht="14.5">
      <c r="A379" s="348" t="s">
        <v>92</v>
      </c>
      <c r="B379" s="341">
        <v>255.76000000000002</v>
      </c>
      <c r="C379" s="341">
        <f t="shared" si="81"/>
        <v>153.45600000000002</v>
      </c>
      <c r="D379" s="341"/>
      <c r="E379" s="341"/>
      <c r="F379" s="341"/>
      <c r="G379" s="341"/>
      <c r="H379" s="341"/>
      <c r="I379" s="341">
        <v>60</v>
      </c>
      <c r="J379" s="341"/>
      <c r="K379" s="338"/>
      <c r="M379" s="142" t="s">
        <v>111</v>
      </c>
    </row>
    <row r="380" spans="1:13" ht="14.5">
      <c r="A380" s="348" t="s">
        <v>94</v>
      </c>
      <c r="B380" s="341">
        <v>333.6</v>
      </c>
      <c r="C380" s="341">
        <f t="shared" si="81"/>
        <v>200.16</v>
      </c>
      <c r="D380" s="341"/>
      <c r="E380" s="341"/>
      <c r="F380" s="341"/>
      <c r="G380" s="341"/>
      <c r="H380" s="341"/>
      <c r="I380" s="341">
        <v>70</v>
      </c>
      <c r="J380" s="341">
        <v>74</v>
      </c>
      <c r="K380" s="338"/>
      <c r="M380" s="142" t="s">
        <v>111</v>
      </c>
    </row>
    <row r="381" spans="1:13" ht="14.5">
      <c r="A381" s="348" t="s">
        <v>96</v>
      </c>
      <c r="B381" s="341">
        <v>200</v>
      </c>
      <c r="C381" s="341">
        <f t="shared" si="81"/>
        <v>120</v>
      </c>
      <c r="D381" s="341"/>
      <c r="E381" s="341"/>
      <c r="F381" s="341"/>
      <c r="G381" s="341"/>
      <c r="H381" s="341"/>
      <c r="I381" s="341">
        <v>120</v>
      </c>
      <c r="J381" s="341"/>
      <c r="K381" s="338"/>
      <c r="M381" s="142" t="s">
        <v>97</v>
      </c>
    </row>
    <row r="382" spans="1:13" ht="14.5">
      <c r="A382" s="157" t="s">
        <v>5</v>
      </c>
      <c r="B382" s="341">
        <v>70.05600000000001</v>
      </c>
      <c r="C382" s="341">
        <f t="shared" si="81"/>
        <v>42.03360000000001</v>
      </c>
      <c r="D382" s="341"/>
      <c r="E382" s="341"/>
      <c r="F382" s="341"/>
      <c r="G382" s="341"/>
      <c r="H382" s="341"/>
      <c r="I382" s="341"/>
      <c r="J382" s="341"/>
      <c r="K382" s="338"/>
      <c r="M382" s="142" t="s">
        <v>124</v>
      </c>
    </row>
    <row r="383" spans="1:13" ht="14.5">
      <c r="A383" s="157" t="s">
        <v>33</v>
      </c>
      <c r="B383" s="341">
        <v>150</v>
      </c>
      <c r="C383" s="341">
        <f t="shared" si="81"/>
        <v>90</v>
      </c>
      <c r="D383" s="341"/>
      <c r="E383" s="341"/>
      <c r="F383" s="341">
        <v>60</v>
      </c>
      <c r="G383" s="341">
        <v>28</v>
      </c>
      <c r="H383" s="341"/>
      <c r="I383" s="341"/>
      <c r="J383" s="341">
        <v>86</v>
      </c>
      <c r="K383" s="338"/>
      <c r="M383" s="142" t="s">
        <v>97</v>
      </c>
    </row>
    <row r="384" spans="1:13" ht="14.5">
      <c r="A384" s="157" t="s">
        <v>101</v>
      </c>
      <c r="B384" s="341">
        <v>1200</v>
      </c>
      <c r="C384" s="341">
        <f t="shared" si="81"/>
        <v>720</v>
      </c>
      <c r="D384" s="341"/>
      <c r="E384" s="341"/>
      <c r="F384" s="341"/>
      <c r="G384" s="341"/>
      <c r="H384" s="341"/>
      <c r="I384" s="341"/>
      <c r="J384" s="341">
        <v>800</v>
      </c>
      <c r="K384" s="338"/>
      <c r="M384" s="142" t="s">
        <v>125</v>
      </c>
    </row>
    <row r="385" spans="1:13" ht="14.5">
      <c r="A385" s="157" t="s">
        <v>16</v>
      </c>
      <c r="B385" s="341">
        <v>50</v>
      </c>
      <c r="C385" s="341">
        <f t="shared" si="81"/>
        <v>30</v>
      </c>
      <c r="D385" s="341"/>
      <c r="E385" s="341"/>
      <c r="F385" s="341"/>
      <c r="G385" s="341">
        <v>46</v>
      </c>
      <c r="H385" s="341"/>
      <c r="I385" s="341"/>
      <c r="J385" s="341"/>
      <c r="K385" s="341"/>
      <c r="M385" s="142" t="s">
        <v>97</v>
      </c>
    </row>
    <row r="388" spans="2:8" ht="15">
      <c r="B388" s="143" t="s">
        <v>313</v>
      </c>
      <c r="C388" s="143" t="s">
        <v>314</v>
      </c>
      <c r="F388" s="143" t="s">
        <v>315</v>
      </c>
      <c r="G388" s="143" t="s">
        <v>316</v>
      </c>
      <c r="H388" s="143" t="s">
        <v>317</v>
      </c>
    </row>
    <row r="389" spans="1:7" ht="15">
      <c r="A389" s="143" t="s">
        <v>318</v>
      </c>
      <c r="B389" s="143">
        <v>158.79</v>
      </c>
      <c r="C389" s="143">
        <v>191.45</v>
      </c>
      <c r="F389" s="143">
        <v>138.66</v>
      </c>
      <c r="G389" s="143">
        <v>576.23</v>
      </c>
    </row>
    <row r="390" spans="1:7" ht="15">
      <c r="A390" s="143" t="s">
        <v>319</v>
      </c>
      <c r="B390" s="143">
        <v>14.5</v>
      </c>
      <c r="C390" s="143">
        <v>12.4</v>
      </c>
      <c r="F390" s="143">
        <v>7.5</v>
      </c>
      <c r="G390" s="143">
        <v>34.08</v>
      </c>
    </row>
    <row r="391" spans="1:8" ht="15">
      <c r="A391" s="143" t="s">
        <v>320</v>
      </c>
      <c r="B391" s="322">
        <f>B390/(0.278*B389)</f>
        <v>0.3284732878726303</v>
      </c>
      <c r="C391" s="322">
        <f>C390/(0.278*C389)</f>
        <v>0.2329815437281932</v>
      </c>
      <c r="D391" s="322"/>
      <c r="E391" s="322"/>
      <c r="F391" s="322">
        <f>F390/(0.278*F389)</f>
        <v>0.19456524784499532</v>
      </c>
      <c r="G391" s="322">
        <f>G390/(0.278*G389)</f>
        <v>0.21274478603605146</v>
      </c>
      <c r="H391" s="143">
        <f>G391*0.278</f>
        <v>0.05914305051802231</v>
      </c>
    </row>
    <row r="396" ht="15">
      <c r="A396" s="143" t="s">
        <v>321</v>
      </c>
    </row>
    <row r="398" ht="15">
      <c r="A398" s="143" t="s">
        <v>322</v>
      </c>
    </row>
    <row r="409" ht="15">
      <c r="C409" s="143">
        <f>1.37*1.37</f>
        <v>1.8769000000000002</v>
      </c>
    </row>
    <row r="421" ht="15">
      <c r="A421" s="143" t="s">
        <v>323</v>
      </c>
    </row>
    <row r="424" spans="3:5" ht="12.75">
      <c r="C424" s="142"/>
      <c r="D424" s="142"/>
      <c r="E424" s="142"/>
    </row>
    <row r="426" ht="12.75"/>
    <row r="427" ht="12.75"/>
    <row r="428" ht="12.75"/>
    <row r="429" ht="12.75"/>
    <row r="430" ht="12.75"/>
    <row r="431" ht="12.75"/>
    <row r="432" ht="12.75"/>
    <row r="433" ht="12.75"/>
    <row r="434" ht="12.75"/>
    <row r="435" ht="12.75"/>
    <row r="436" ht="12.75"/>
    <row r="437" ht="12.75"/>
    <row r="438" ht="12.75"/>
    <row r="439" ht="12.75"/>
    <row r="440" ht="12.75"/>
    <row r="449" ht="12.75"/>
    <row r="450" ht="12.75"/>
    <row r="451" ht="12.75"/>
    <row r="452" ht="12.75"/>
    <row r="453" ht="12.75"/>
    <row r="454" ht="12.75"/>
    <row r="455" ht="12.75"/>
    <row r="456" ht="12.75"/>
    <row r="457" ht="12.75"/>
    <row r="458" ht="12.75"/>
    <row r="459" ht="12.75"/>
    <row r="460" ht="12.75"/>
    <row r="461"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sheetData>
  <mergeCells count="4">
    <mergeCell ref="A2:F3"/>
    <mergeCell ref="X48:AA48"/>
    <mergeCell ref="X68:AA68"/>
    <mergeCell ref="X75:AA75"/>
  </mergeCells>
  <conditionalFormatting sqref="F25:W42 F66:W82 F85:W102 F105:W122 F129:W136 Y132 X140 F140:W144">
    <cfRule type="expression" priority="6" dxfId="0">
      <formula>MOD(ROW(),2)</formula>
    </cfRule>
  </conditionalFormatting>
  <conditionalFormatting sqref="F199:N199">
    <cfRule type="expression" priority="5" dxfId="0">
      <formula>MOD(ROW(),2)</formula>
    </cfRule>
  </conditionalFormatting>
  <conditionalFormatting sqref="O200:W201">
    <cfRule type="expression" priority="4" dxfId="0">
      <formula>MOD(ROW(),2)</formula>
    </cfRule>
  </conditionalFormatting>
  <conditionalFormatting sqref="F46:W62">
    <cfRule type="expression" priority="3" dxfId="0">
      <formula>MOD(ROW(),2)</formula>
    </cfRule>
  </conditionalFormatting>
  <conditionalFormatting sqref="F8:W19">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6">
            <xm:f>MOD(ROW(),2)</xm:f>
            <x14:dxf>
              <fill>
                <patternFill patternType="solid">
                  <fgColor theme="5" tint="0.5999600291252136"/>
                  <bgColor theme="5" tint="0.5999600291252136"/>
                </patternFill>
              </fill>
            </x14:dxf>
          </x14:cfRule>
          <xm:sqref>F25:W42 F66:W82 F85:W102 F105:W122 F129:W136 Y132 X140 F140:W144</xm:sqref>
        </x14:conditionalFormatting>
        <x14:conditionalFormatting xmlns:xm="http://schemas.microsoft.com/office/excel/2006/main">
          <x14:cfRule type="expression" priority="5">
            <xm:f>MOD(ROW(),2)</xm:f>
            <x14:dxf>
              <fill>
                <patternFill patternType="solid">
                  <fgColor theme="5" tint="0.5999600291252136"/>
                  <bgColor theme="5" tint="0.5999600291252136"/>
                </patternFill>
              </fill>
            </x14:dxf>
          </x14:cfRule>
          <xm:sqref>F199:N199</xm:sqref>
        </x14:conditionalFormatting>
        <x14:conditionalFormatting xmlns:xm="http://schemas.microsoft.com/office/excel/2006/main">
          <x14:cfRule type="expression" priority="4">
            <xm:f>MOD(ROW(),2)</xm:f>
            <x14:dxf>
              <fill>
                <patternFill patternType="solid">
                  <fgColor theme="5" tint="0.5999600291252136"/>
                  <bgColor theme="5" tint="0.5999600291252136"/>
                </patternFill>
              </fill>
            </x14:dxf>
          </x14:cfRule>
          <xm:sqref>O200:W201</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F46:W62</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F8:W19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X120"/>
  <sheetViews>
    <sheetView zoomScale="60" zoomScaleNormal="60" workbookViewId="0" topLeftCell="A1">
      <selection activeCell="A2" sqref="A2"/>
    </sheetView>
  </sheetViews>
  <sheetFormatPr defaultColWidth="12.140625" defaultRowHeight="15"/>
  <cols>
    <col min="1" max="1" width="50.57421875" style="142" customWidth="1"/>
    <col min="2" max="2" width="9.57421875" style="142" customWidth="1"/>
    <col min="3" max="7" width="8.57421875" style="142" customWidth="1"/>
    <col min="8" max="8" width="8.57421875" style="311" customWidth="1"/>
    <col min="9" max="19" width="8.57421875" style="142" customWidth="1"/>
    <col min="20" max="20" width="12.421875" style="142" customWidth="1"/>
    <col min="21" max="21" width="13.57421875" style="142" customWidth="1"/>
    <col min="22" max="23" width="14.421875" style="142" customWidth="1"/>
    <col min="24" max="24" width="12.57421875" style="142" customWidth="1"/>
    <col min="25" max="25" width="32.7109375" style="142" customWidth="1"/>
    <col min="26" max="16384" width="12.140625" style="142" customWidth="1"/>
  </cols>
  <sheetData>
    <row r="2" spans="1:2" ht="14.5">
      <c r="A2" s="153" t="s">
        <v>2</v>
      </c>
      <c r="B2" s="358"/>
    </row>
    <row r="3" spans="1:2" ht="15">
      <c r="A3" s="359"/>
      <c r="B3" s="358"/>
    </row>
    <row r="4" ht="11.4" customHeight="1"/>
    <row r="5" spans="1:19" ht="32.4" customHeight="1">
      <c r="A5" s="153" t="s">
        <v>324</v>
      </c>
      <c r="B5" s="152">
        <v>2013</v>
      </c>
      <c r="C5" s="152">
        <v>2014</v>
      </c>
      <c r="D5" s="152">
        <v>2015</v>
      </c>
      <c r="E5" s="152">
        <v>2016</v>
      </c>
      <c r="F5" s="152">
        <v>2017</v>
      </c>
      <c r="G5" s="152">
        <v>2018</v>
      </c>
      <c r="H5" s="360">
        <v>2019</v>
      </c>
      <c r="I5" s="152">
        <v>2020</v>
      </c>
      <c r="J5" s="152">
        <v>2021</v>
      </c>
      <c r="K5" s="152">
        <v>2022</v>
      </c>
      <c r="L5" s="152">
        <v>2023</v>
      </c>
      <c r="M5" s="153">
        <v>2024</v>
      </c>
      <c r="N5" s="154">
        <v>2025</v>
      </c>
      <c r="O5" s="271">
        <v>2026</v>
      </c>
      <c r="P5" s="271">
        <v>2027</v>
      </c>
      <c r="Q5" s="271">
        <v>2028</v>
      </c>
      <c r="R5" s="271">
        <v>2029</v>
      </c>
      <c r="S5" s="270">
        <v>2030</v>
      </c>
    </row>
    <row r="6" spans="1:19" ht="15" customHeight="1">
      <c r="A6" s="361" t="s">
        <v>74</v>
      </c>
      <c r="B6" s="163">
        <f>'DATA Growth'!F46*'DATA Growth'!F25/1000</f>
        <v>56.48422509586182</v>
      </c>
      <c r="C6" s="163">
        <f>'DATA Growth'!G46*'DATA Growth'!G25/1000</f>
        <v>53.095171590110105</v>
      </c>
      <c r="D6" s="163">
        <f>'DATA Growth'!H46*'DATA Growth'!H25/1000</f>
        <v>49.90946129470349</v>
      </c>
      <c r="E6" s="163">
        <f>'DATA Growth'!I46*'DATA Growth'!I25/1000</f>
        <v>46.914893617021285</v>
      </c>
      <c r="F6" s="163">
        <f>'DATA Growth'!J46*'DATA Growth'!J25/1000</f>
        <v>44.1</v>
      </c>
      <c r="G6" s="163">
        <f>'DATA Growth'!K46*'DATA Growth'!K25/1000</f>
        <v>42.9975</v>
      </c>
      <c r="H6" s="163">
        <f>'DATA Growth'!L46*'DATA Growth'!L25/1000</f>
        <v>41.9225625</v>
      </c>
      <c r="I6" s="163">
        <f>'DATA Growth'!M46*'DATA Growth'!M25/1000</f>
        <v>40.6732701375</v>
      </c>
      <c r="J6" s="163">
        <f>'DATA Growth'!N46*'DATA Growth'!N25/1000</f>
        <v>39.461206687402495</v>
      </c>
      <c r="K6" s="163">
        <f>'DATA Growth'!O46*'DATA Growth'!O25/1000</f>
        <v>38.2852627281179</v>
      </c>
      <c r="L6" s="163">
        <f>'DATA Growth'!P46*'DATA Growth'!P25/1000</f>
        <v>37.14436189881998</v>
      </c>
      <c r="M6" s="162">
        <f>'DATA Growth'!Q46*'DATA Growth'!Q25/1000</f>
        <v>36.03745991423514</v>
      </c>
      <c r="N6" s="164">
        <f>'DATA Growth'!R46*'DATA Growth'!R25/1000</f>
        <v>34.963543608790935</v>
      </c>
      <c r="O6" s="162">
        <f>'DATA Growth'!S46*'DATA Growth'!S25/1000</f>
        <v>33.921630009248965</v>
      </c>
      <c r="P6" s="163">
        <f>'DATA Growth'!T46*'DATA Growth'!T25/1000</f>
        <v>32.91076543497334</v>
      </c>
      <c r="Q6" s="163">
        <f>'DATA Growth'!U46*'DATA Growth'!U25/1000</f>
        <v>31.930024625011136</v>
      </c>
      <c r="R6" s="163">
        <f>'DATA Growth'!V46*'DATA Growth'!V25/1000</f>
        <v>30.9785098911858</v>
      </c>
      <c r="S6" s="164">
        <f>'DATA Growth'!W46*'DATA Growth'!W25/1000</f>
        <v>30.055350296428465</v>
      </c>
    </row>
    <row r="7" spans="1:19" ht="15" customHeight="1">
      <c r="A7" s="362" t="s">
        <v>76</v>
      </c>
      <c r="B7" s="160">
        <f>'DATA Growth'!F47*'DATA Growth'!F26/1000</f>
        <v>43.18433118593268</v>
      </c>
      <c r="C7" s="160">
        <f>'DATA Growth'!G47*'DATA Growth'!G26/1000</f>
        <v>44.01347034470258</v>
      </c>
      <c r="D7" s="160">
        <f>'DATA Growth'!H47*'DATA Growth'!H26/1000</f>
        <v>44.85852897532088</v>
      </c>
      <c r="E7" s="160">
        <f>'DATA Growth'!I47*'DATA Growth'!I26/1000</f>
        <v>45.71981273164704</v>
      </c>
      <c r="F7" s="160">
        <f>'DATA Growth'!J47*'DATA Growth'!J26/1000</f>
        <v>46.59763313609467</v>
      </c>
      <c r="G7" s="160">
        <f>'DATA Growth'!K47*'DATA Growth'!K26/1000</f>
        <v>48.46153846153845</v>
      </c>
      <c r="H7" s="160">
        <f>'DATA Growth'!L47*'DATA Growth'!L26/1000</f>
        <v>50.4</v>
      </c>
      <c r="I7" s="160">
        <f>'DATA Growth'!M47*'DATA Growth'!M26/1000</f>
        <v>52.416</v>
      </c>
      <c r="J7" s="160">
        <f>'DATA Growth'!N47*'DATA Growth'!N26/1000</f>
        <v>54.512640000000005</v>
      </c>
      <c r="K7" s="160">
        <f>'DATA Growth'!O47*'DATA Growth'!O26/1000</f>
        <v>56.6931456</v>
      </c>
      <c r="L7" s="160">
        <f>'DATA Growth'!P47*'DATA Growth'!P26/1000</f>
        <v>58.960871424000004</v>
      </c>
      <c r="M7" s="159">
        <f>'DATA Growth'!Q47*'DATA Growth'!Q26/1000</f>
        <v>61.31930628096001</v>
      </c>
      <c r="N7" s="161">
        <f>'DATA Growth'!R47*'DATA Growth'!R26/1000</f>
        <v>63.772078532198414</v>
      </c>
      <c r="O7" s="159">
        <f>'DATA Growth'!S47*'DATA Growth'!S26/1000</f>
        <v>66.32296167348635</v>
      </c>
      <c r="P7" s="160">
        <f>'DATA Growth'!T47*'DATA Growth'!T26/1000</f>
        <v>68.97588014042582</v>
      </c>
      <c r="Q7" s="160">
        <f>'DATA Growth'!U47*'DATA Growth'!U26/1000</f>
        <v>71.73491534604284</v>
      </c>
      <c r="R7" s="160">
        <f>'DATA Growth'!V47*'DATA Growth'!V26/1000</f>
        <v>74.60431195988455</v>
      </c>
      <c r="S7" s="161">
        <f>'DATA Growth'!W47*'DATA Growth'!W26/1000</f>
        <v>77.58848443827993</v>
      </c>
    </row>
    <row r="8" spans="1:19" ht="15" customHeight="1">
      <c r="A8" s="362" t="s">
        <v>325</v>
      </c>
      <c r="B8" s="160">
        <f>'DATA Growth'!F48*'DATA Growth'!F27/1000</f>
        <v>70.2539428507593</v>
      </c>
      <c r="C8" s="160">
        <f>'DATA Growth'!G48*'DATA Growth'!G27/1000</f>
        <v>68.84886399374412</v>
      </c>
      <c r="D8" s="160">
        <f>'DATA Growth'!H48*'DATA Growth'!H27/1000</f>
        <v>67.47188671386922</v>
      </c>
      <c r="E8" s="160">
        <f>'DATA Growth'!I48*'DATA Growth'!I27/1000</f>
        <v>66.12244897959185</v>
      </c>
      <c r="F8" s="160">
        <f>'DATA Growth'!J48*'DATA Growth'!J27/1000</f>
        <v>64.8</v>
      </c>
      <c r="G8" s="160">
        <f>'DATA Growth'!K48*'DATA Growth'!K27/1000</f>
        <v>64.8</v>
      </c>
      <c r="H8" s="160">
        <f>'DATA Growth'!L48*'DATA Growth'!L27/1000</f>
        <v>64.8</v>
      </c>
      <c r="I8" s="160">
        <f>'DATA Growth'!M48*'DATA Growth'!M27/1000</f>
        <v>64.152</v>
      </c>
      <c r="J8" s="160">
        <f>'DATA Growth'!N48*'DATA Growth'!N27/1000</f>
        <v>63.51048</v>
      </c>
      <c r="K8" s="160">
        <f>'DATA Growth'!O48*'DATA Growth'!O27/1000</f>
        <v>62.87537519999999</v>
      </c>
      <c r="L8" s="160">
        <f>'DATA Growth'!P48*'DATA Growth'!P27/1000</f>
        <v>62.246621448</v>
      </c>
      <c r="M8" s="159">
        <f>'DATA Growth'!Q48*'DATA Growth'!Q27/1000</f>
        <v>61.62415523351999</v>
      </c>
      <c r="N8" s="161">
        <f>'DATA Growth'!R48*'DATA Growth'!R27/1000</f>
        <v>61.0079136811848</v>
      </c>
      <c r="O8" s="159">
        <f>'DATA Growth'!S48*'DATA Growth'!S27/1000</f>
        <v>60.39783454437295</v>
      </c>
      <c r="P8" s="160">
        <f>'DATA Growth'!T48*'DATA Growth'!T27/1000</f>
        <v>59.79385619892922</v>
      </c>
      <c r="Q8" s="160">
        <f>'DATA Growth'!U48*'DATA Growth'!U27/1000</f>
        <v>59.19591763693993</v>
      </c>
      <c r="R8" s="160">
        <f>'DATA Growth'!V48*'DATA Growth'!V27/1000</f>
        <v>58.60395846057053</v>
      </c>
      <c r="S8" s="161">
        <f>'DATA Growth'!W48*'DATA Growth'!W27/1000</f>
        <v>58.017918875964824</v>
      </c>
    </row>
    <row r="9" spans="1:19" ht="15" customHeight="1">
      <c r="A9" s="362" t="s">
        <v>79</v>
      </c>
      <c r="B9" s="160">
        <f>'DATA Growth'!F49*'DATA Growth'!F28/1000</f>
        <v>20.86732748137551</v>
      </c>
      <c r="C9" s="160">
        <f>'DATA Growth'!G49*'DATA Growth'!G28/1000</f>
        <v>21.28467403100302</v>
      </c>
      <c r="D9" s="160">
        <f>'DATA Growth'!H49*'DATA Growth'!H28/1000</f>
        <v>21.710367511623083</v>
      </c>
      <c r="E9" s="160">
        <f>'DATA Growth'!I49*'DATA Growth'!I28/1000</f>
        <v>22.14457486185555</v>
      </c>
      <c r="F9" s="160">
        <f>'DATA Growth'!J49*'DATA Growth'!J28/1000</f>
        <v>22.58746635909266</v>
      </c>
      <c r="G9" s="160">
        <f>'DATA Growth'!K49*'DATA Growth'!K28/1000</f>
        <v>23.03921568627451</v>
      </c>
      <c r="H9" s="160">
        <f>'DATA Growth'!L49*'DATA Growth'!L28/1000</f>
        <v>23.5</v>
      </c>
      <c r="I9" s="160">
        <f>'DATA Growth'!M49*'DATA Growth'!M28/1000</f>
        <v>23.735</v>
      </c>
      <c r="J9" s="160">
        <f>'DATA Growth'!N49*'DATA Growth'!N28/1000</f>
        <v>23.972350000000002</v>
      </c>
      <c r="K9" s="160">
        <f>'DATA Growth'!O49*'DATA Growth'!O28/1000</f>
        <v>24.2120735</v>
      </c>
      <c r="L9" s="160">
        <f>'DATA Growth'!P49*'DATA Growth'!P28/1000</f>
        <v>24.454194235</v>
      </c>
      <c r="M9" s="159">
        <f>'DATA Growth'!Q49*'DATA Growth'!Q28/1000</f>
        <v>24.698736177349996</v>
      </c>
      <c r="N9" s="161">
        <f>'DATA Growth'!R49*'DATA Growth'!R28/1000</f>
        <v>24.9457235391235</v>
      </c>
      <c r="O9" s="159">
        <f>'DATA Growth'!S49*'DATA Growth'!S28/1000</f>
        <v>25.195180774514732</v>
      </c>
      <c r="P9" s="160">
        <f>'DATA Growth'!T49*'DATA Growth'!T28/1000</f>
        <v>25.447132582259876</v>
      </c>
      <c r="Q9" s="160">
        <f>'DATA Growth'!U49*'DATA Growth'!U28/1000</f>
        <v>25.70160390808248</v>
      </c>
      <c r="R9" s="160">
        <f>'DATA Growth'!V49*'DATA Growth'!V28/1000</f>
        <v>25.958619947163303</v>
      </c>
      <c r="S9" s="161">
        <f>'DATA Growth'!W49*'DATA Growth'!W28/1000</f>
        <v>26.218206146634937</v>
      </c>
    </row>
    <row r="10" spans="1:19" ht="15" customHeight="1">
      <c r="A10" s="362" t="s">
        <v>81</v>
      </c>
      <c r="B10" s="160">
        <f>'DATA Growth'!F50*'DATA Growth'!F29/1000</f>
        <v>16.82656110682686</v>
      </c>
      <c r="C10" s="160">
        <f>'DATA Growth'!G50*'DATA Growth'!G29/1000</f>
        <v>17.657793225504108</v>
      </c>
      <c r="D10" s="160">
        <f>'DATA Growth'!H50*'DATA Growth'!H29/1000</f>
        <v>18.530088210844013</v>
      </c>
      <c r="E10" s="160">
        <f>'DATA Growth'!I50*'DATA Growth'!I29/1000</f>
        <v>19.44547456845971</v>
      </c>
      <c r="F10" s="160">
        <f>'DATA Growth'!J50*'DATA Growth'!J29/1000</f>
        <v>20.40608101214162</v>
      </c>
      <c r="G10" s="160">
        <f>'DATA Growth'!K50*'DATA Growth'!K29/1000</f>
        <v>21.313131313131315</v>
      </c>
      <c r="H10" s="160">
        <f>'DATA Growth'!L50*'DATA Growth'!L29/1000</f>
        <v>22.1</v>
      </c>
      <c r="I10" s="160">
        <f>'DATA Growth'!M50*'DATA Growth'!M29/1000</f>
        <v>22.09116</v>
      </c>
      <c r="J10" s="160">
        <f>'DATA Growth'!N50*'DATA Growth'!N29/1000</f>
        <v>22.082323536</v>
      </c>
      <c r="K10" s="160">
        <f>'DATA Growth'!O50*'DATA Growth'!O29/1000</f>
        <v>22.073490606585597</v>
      </c>
      <c r="L10" s="160">
        <f>'DATA Growth'!P50*'DATA Growth'!P29/1000</f>
        <v>22.064661210342965</v>
      </c>
      <c r="M10" s="159">
        <f>'DATA Growth'!Q50*'DATA Growth'!Q29/1000</f>
        <v>22.055835345858828</v>
      </c>
      <c r="N10" s="161">
        <f>'DATA Growth'!R50*'DATA Growth'!R29/1000</f>
        <v>22.047013011720487</v>
      </c>
      <c r="O10" s="159">
        <f>'DATA Growth'!S50*'DATA Growth'!S29/1000</f>
        <v>22.0381942065158</v>
      </c>
      <c r="P10" s="160">
        <f>'DATA Growth'!T50*'DATA Growth'!T29/1000</f>
        <v>22.029378928833193</v>
      </c>
      <c r="Q10" s="160">
        <f>'DATA Growth'!U50*'DATA Growth'!U29/1000</f>
        <v>22.020567177261658</v>
      </c>
      <c r="R10" s="160">
        <f>'DATA Growth'!V50*'DATA Growth'!V29/1000</f>
        <v>22.011758950390753</v>
      </c>
      <c r="S10" s="161">
        <f>'DATA Growth'!W50*'DATA Growth'!W29/1000</f>
        <v>22.002954246810596</v>
      </c>
    </row>
    <row r="11" spans="1:19" ht="15" customHeight="1">
      <c r="A11" s="362" t="s">
        <v>326</v>
      </c>
      <c r="B11" s="160">
        <f>'DATA Growth'!F51*'DATA Growth'!F30/1000</f>
        <v>53.624755952641785</v>
      </c>
      <c r="C11" s="160">
        <f>'DATA Growth'!G51*'DATA Growth'!G30/1000</f>
        <v>63.11633775625939</v>
      </c>
      <c r="D11" s="160">
        <f>'DATA Growth'!H51*'DATA Growth'!H30/1000</f>
        <v>74.28792953911729</v>
      </c>
      <c r="E11" s="160">
        <f>'DATA Growth'!I51*'DATA Growth'!I30/1000</f>
        <v>87.43689306754108</v>
      </c>
      <c r="F11" s="160">
        <f>'DATA Growth'!J51*'DATA Growth'!J30/1000</f>
        <v>102.91322314049586</v>
      </c>
      <c r="G11" s="160">
        <f>'DATA Growth'!K51*'DATA Growth'!K30/1000</f>
        <v>108.41363636363636</v>
      </c>
      <c r="H11" s="160">
        <f>'DATA Growth'!L51*'DATA Growth'!L30/1000</f>
        <v>116.535</v>
      </c>
      <c r="I11" s="160">
        <f>'DATA Growth'!M51*'DATA Growth'!M30/1000</f>
        <v>115.311</v>
      </c>
      <c r="J11" s="160">
        <f>'DATA Growth'!N51*'DATA Growth'!N30/1000</f>
        <v>125.31422924999998</v>
      </c>
      <c r="K11" s="160">
        <f>'DATA Growth'!O51*'DATA Growth'!O30/1000</f>
        <v>136.1852386374375</v>
      </c>
      <c r="L11" s="160">
        <f>'DATA Growth'!P51*'DATA Growth'!P30/1000</f>
        <v>147.9993080892352</v>
      </c>
      <c r="M11" s="159">
        <f>'DATA Growth'!Q51*'DATA Growth'!Q30/1000</f>
        <v>160.83824806597633</v>
      </c>
      <c r="N11" s="161">
        <f>'DATA Growth'!R51*'DATA Growth'!R30/1000</f>
        <v>174.7909660856998</v>
      </c>
      <c r="O11" s="159">
        <f>'DATA Growth'!S51*'DATA Growth'!S30/1000</f>
        <v>189.95408239363425</v>
      </c>
      <c r="P11" s="160">
        <f>'DATA Growth'!T51*'DATA Growth'!T30/1000</f>
        <v>206.43259904128203</v>
      </c>
      <c r="Q11" s="160">
        <f>'DATA Growth'!U51*'DATA Growth'!U30/1000</f>
        <v>224.34062700811324</v>
      </c>
      <c r="R11" s="160">
        <f>'DATA Growth'!V51*'DATA Growth'!V30/1000</f>
        <v>243.80217640106704</v>
      </c>
      <c r="S11" s="161">
        <f>'DATA Growth'!W51*'DATA Growth'!W30/1000</f>
        <v>264.9520152038596</v>
      </c>
    </row>
    <row r="12" spans="1:19" ht="15" customHeight="1">
      <c r="A12" s="362" t="s">
        <v>84</v>
      </c>
      <c r="B12" s="160">
        <f>'DATA Growth'!F52*'DATA Growth'!F31/1000</f>
        <v>23.135689814714418</v>
      </c>
      <c r="C12" s="160">
        <f>'DATA Growth'!G52*'DATA Growth'!G31/1000</f>
        <v>23.922303268414712</v>
      </c>
      <c r="D12" s="160">
        <f>'DATA Growth'!H52*'DATA Growth'!H31/1000</f>
        <v>24.73566157954081</v>
      </c>
      <c r="E12" s="160">
        <f>'DATA Growth'!I52*'DATA Growth'!I31/1000</f>
        <v>25.576674073245197</v>
      </c>
      <c r="F12" s="160">
        <f>'DATA Growth'!J52*'DATA Growth'!J31/1000</f>
        <v>26.446280991735534</v>
      </c>
      <c r="G12" s="160">
        <f>'DATA Growth'!K52*'DATA Growth'!K31/1000</f>
        <v>27.272727272727273</v>
      </c>
      <c r="H12" s="160">
        <f>'DATA Growth'!L52*'DATA Growth'!L31/1000</f>
        <v>29</v>
      </c>
      <c r="I12" s="160">
        <f>'DATA Growth'!M52*'DATA Growth'!M31/1000</f>
        <v>29.5365</v>
      </c>
      <c r="J12" s="160">
        <f>'DATA Growth'!N52*'DATA Growth'!N31/1000</f>
        <v>30.08292525</v>
      </c>
      <c r="K12" s="160">
        <f>'DATA Growth'!O52*'DATA Growth'!O31/1000</f>
        <v>30.639459367124996</v>
      </c>
      <c r="L12" s="160">
        <f>'DATA Growth'!P52*'DATA Growth'!P31/1000</f>
        <v>31.20628936541681</v>
      </c>
      <c r="M12" s="159">
        <f>'DATA Growth'!Q52*'DATA Growth'!Q31/1000</f>
        <v>31.783605718677023</v>
      </c>
      <c r="N12" s="161">
        <f>'DATA Growth'!R52*'DATA Growth'!R31/1000</f>
        <v>32.37160242447255</v>
      </c>
      <c r="O12" s="159">
        <f>'DATA Growth'!S52*'DATA Growth'!S31/1000</f>
        <v>32.97047706932529</v>
      </c>
      <c r="P12" s="160">
        <f>'DATA Growth'!T52*'DATA Growth'!T31/1000</f>
        <v>33.58043089510781</v>
      </c>
      <c r="Q12" s="160">
        <f>'DATA Growth'!U52*'DATA Growth'!U31/1000</f>
        <v>34.201668866667305</v>
      </c>
      <c r="R12" s="160">
        <f>'DATA Growth'!V52*'DATA Growth'!V31/1000</f>
        <v>34.834399740700654</v>
      </c>
      <c r="S12" s="161">
        <f>'DATA Growth'!W52*'DATA Growth'!W31/1000</f>
        <v>35.47883613590362</v>
      </c>
    </row>
    <row r="13" spans="1:19" ht="15" customHeight="1">
      <c r="A13" s="362" t="s">
        <v>86</v>
      </c>
      <c r="B13" s="160">
        <f>'DATA Growth'!F53*'DATA Growth'!F32/1000</f>
        <v>16.675133187623793</v>
      </c>
      <c r="C13" s="160">
        <f>'DATA Growth'!G53*'DATA Growth'!G32/1000</f>
        <v>14.67411720510894</v>
      </c>
      <c r="D13" s="160">
        <f>'DATA Growth'!H53*'DATA Growth'!H32/1000</f>
        <v>12.913223140495866</v>
      </c>
      <c r="E13" s="160">
        <f>'DATA Growth'!I53*'DATA Growth'!I32/1000</f>
        <v>11.363636363636362</v>
      </c>
      <c r="F13" s="160">
        <f>'DATA Growth'!J53*'DATA Growth'!J32/1000</f>
        <v>10</v>
      </c>
      <c r="G13" s="160">
        <f>'DATA Growth'!K53*'DATA Growth'!K32/1000</f>
        <v>9.74</v>
      </c>
      <c r="H13" s="160">
        <f>'DATA Growth'!L53*'DATA Growth'!L32/1000</f>
        <v>8.38</v>
      </c>
      <c r="I13" s="160">
        <f>'DATA Growth'!M53*'DATA Growth'!M32/1000</f>
        <v>7.206799999999999</v>
      </c>
      <c r="J13" s="160">
        <f>'DATA Growth'!N53*'DATA Growth'!N32/1000</f>
        <v>6.197847999999999</v>
      </c>
      <c r="K13" s="160">
        <f>'DATA Growth'!O53*'DATA Growth'!O32/1000</f>
        <v>5.33014928</v>
      </c>
      <c r="L13" s="160">
        <f>'DATA Growth'!P53*'DATA Growth'!P32/1000</f>
        <v>4.583928380799999</v>
      </c>
      <c r="M13" s="159">
        <f>'DATA Growth'!Q53*'DATA Growth'!Q32/1000</f>
        <v>3.942178407487999</v>
      </c>
      <c r="N13" s="161">
        <f>'DATA Growth'!R53*'DATA Growth'!R32/1000</f>
        <v>3.390273430439679</v>
      </c>
      <c r="O13" s="159">
        <f>'DATA Growth'!S53*'DATA Growth'!S32/1000</f>
        <v>2.9156351501781237</v>
      </c>
      <c r="P13" s="160">
        <f>'DATA Growth'!T53*'DATA Growth'!T32/1000</f>
        <v>2.5074462291531865</v>
      </c>
      <c r="Q13" s="160">
        <f>'DATA Growth'!U53*'DATA Growth'!U32/1000</f>
        <v>2.15640375707174</v>
      </c>
      <c r="R13" s="160">
        <f>'DATA Growth'!V53*'DATA Growth'!V32/1000</f>
        <v>1.8545072310816966</v>
      </c>
      <c r="S13" s="161">
        <f>'DATA Growth'!W53*'DATA Growth'!W32/1000</f>
        <v>1.594876218730259</v>
      </c>
    </row>
    <row r="14" spans="1:19" ht="15" customHeight="1">
      <c r="A14" s="362" t="s">
        <v>88</v>
      </c>
      <c r="B14" s="160">
        <f>'DATA Growth'!F54*'DATA Growth'!F33/1000</f>
        <v>0.5134809286238284</v>
      </c>
      <c r="C14" s="160">
        <f>'DATA Growth'!G54*'DATA Growth'!G33/1000</f>
        <v>0.6631606193176743</v>
      </c>
      <c r="D14" s="160">
        <f>'DATA Growth'!H54*'DATA Growth'!H33/1000</f>
        <v>0.8564719398487765</v>
      </c>
      <c r="E14" s="160">
        <f>'DATA Growth'!I54*'DATA Growth'!I33/1000</f>
        <v>1.1061335103146948</v>
      </c>
      <c r="F14" s="160">
        <f>'DATA Growth'!J54*'DATA Growth'!J33/1000</f>
        <v>1.4285714285714284</v>
      </c>
      <c r="G14" s="160">
        <f>'DATA Growth'!K54*'DATA Growth'!K33/1000</f>
        <v>1.7142857142857142</v>
      </c>
      <c r="H14" s="160">
        <f>'DATA Growth'!L54*'DATA Growth'!L33/1000</f>
        <v>2.1</v>
      </c>
      <c r="I14" s="160">
        <f>'DATA Growth'!M54*'DATA Growth'!M33/1000</f>
        <v>2.8665000000000003</v>
      </c>
      <c r="J14" s="160">
        <f>'DATA Growth'!N54*'DATA Growth'!N33/1000</f>
        <v>3.9127725000000004</v>
      </c>
      <c r="K14" s="160">
        <f>'DATA Growth'!O54*'DATA Growth'!O33/1000</f>
        <v>5.340934462500001</v>
      </c>
      <c r="L14" s="160">
        <f>'DATA Growth'!P54*'DATA Growth'!P33/1000</f>
        <v>7.2903755413125015</v>
      </c>
      <c r="M14" s="159">
        <f>'DATA Growth'!Q54*'DATA Growth'!Q33/1000</f>
        <v>9.951362613891567</v>
      </c>
      <c r="N14" s="161">
        <f>'DATA Growth'!R54*'DATA Growth'!R33/1000</f>
        <v>13.58360996796199</v>
      </c>
      <c r="O14" s="159">
        <f>'DATA Growth'!S54*'DATA Growth'!S33/1000</f>
        <v>18.541627606268122</v>
      </c>
      <c r="P14" s="160">
        <f>'DATA Growth'!T54*'DATA Growth'!T33/1000</f>
        <v>25.309321682555986</v>
      </c>
      <c r="Q14" s="160">
        <f>'DATA Growth'!U54*'DATA Growth'!U33/1000</f>
        <v>34.54722409668892</v>
      </c>
      <c r="R14" s="160">
        <f>'DATA Growth'!V54*'DATA Growth'!V33/1000</f>
        <v>47.15696089198039</v>
      </c>
      <c r="S14" s="161">
        <f>'DATA Growth'!W54*'DATA Growth'!W33/1000</f>
        <v>64.36925161755322</v>
      </c>
    </row>
    <row r="15" spans="1:19" ht="15" customHeight="1">
      <c r="A15" s="362" t="s">
        <v>90</v>
      </c>
      <c r="B15" s="160">
        <f>'DATA Growth'!F55*'DATA Growth'!F34/1000</f>
        <v>131.63532048854086</v>
      </c>
      <c r="C15" s="160">
        <f>'DATA Growth'!G55*'DATA Growth'!G34/1000</f>
        <v>144.79885253739494</v>
      </c>
      <c r="D15" s="160">
        <f>'DATA Growth'!H55*'DATA Growth'!H34/1000</f>
        <v>159.27873779113443</v>
      </c>
      <c r="E15" s="160">
        <f>'DATA Growth'!I55*'DATA Growth'!I34/1000</f>
        <v>175.20661157024787</v>
      </c>
      <c r="F15" s="160">
        <f>'DATA Growth'!J55*'DATA Growth'!J34/1000</f>
        <v>192.7272727272727</v>
      </c>
      <c r="G15" s="160">
        <f>'DATA Growth'!K55*'DATA Growth'!K34/1000</f>
        <v>216.81818181818178</v>
      </c>
      <c r="H15" s="160">
        <f>'DATA Growth'!L55*'DATA Growth'!L34/1000</f>
        <v>243.8</v>
      </c>
      <c r="I15" s="160">
        <f>'DATA Growth'!M55*'DATA Growth'!M34/1000</f>
        <v>260.866</v>
      </c>
      <c r="J15" s="160">
        <f>'DATA Growth'!N55*'DATA Growth'!N34/1000</f>
        <v>279.12662</v>
      </c>
      <c r="K15" s="160">
        <f>'DATA Growth'!O55*'DATA Growth'!O34/1000</f>
        <v>298.6654834</v>
      </c>
      <c r="L15" s="160">
        <f>'DATA Growth'!P55*'DATA Growth'!P34/1000</f>
        <v>319.5720672380001</v>
      </c>
      <c r="M15" s="159">
        <f>'DATA Growth'!Q55*'DATA Growth'!Q34/1000</f>
        <v>341.94211194466016</v>
      </c>
      <c r="N15" s="161">
        <f>'DATA Growth'!R55*'DATA Growth'!R34/1000</f>
        <v>365.8780597807863</v>
      </c>
      <c r="O15" s="159">
        <f>'DATA Growth'!S55*'DATA Growth'!S34/1000</f>
        <v>391.48952396544144</v>
      </c>
      <c r="P15" s="160">
        <f>'DATA Growth'!T55*'DATA Growth'!T34/1000</f>
        <v>418.8937906430224</v>
      </c>
      <c r="Q15" s="160">
        <f>'DATA Growth'!U55*'DATA Growth'!U34/1000</f>
        <v>448.21635598803397</v>
      </c>
      <c r="R15" s="160">
        <f>'DATA Growth'!V55*'DATA Growth'!V34/1000</f>
        <v>479.59150090719635</v>
      </c>
      <c r="S15" s="161">
        <f>'DATA Growth'!W55*'DATA Growth'!W34/1000</f>
        <v>513.1629059707002</v>
      </c>
    </row>
    <row r="16" spans="1:19" ht="15" customHeight="1">
      <c r="A16" s="362" t="s">
        <v>92</v>
      </c>
      <c r="B16" s="160">
        <f>'DATA Growth'!F56*'DATA Growth'!F35/1000</f>
        <v>8.496876708272591</v>
      </c>
      <c r="C16" s="160">
        <f>'DATA Growth'!G56*'DATA Growth'!G35/1000</f>
        <v>9.516501913265303</v>
      </c>
      <c r="D16" s="160">
        <f>'DATA Growth'!H56*'DATA Growth'!H35/1000</f>
        <v>10.65848214285714</v>
      </c>
      <c r="E16" s="160">
        <f>'DATA Growth'!I56*'DATA Growth'!I35/1000</f>
        <v>11.9375</v>
      </c>
      <c r="F16" s="160">
        <f>'DATA Growth'!J56*'DATA Growth'!J35/1000</f>
        <v>13.37</v>
      </c>
      <c r="G16" s="160">
        <f>'DATA Growth'!K56*'DATA Growth'!K35/1000</f>
        <v>15</v>
      </c>
      <c r="H16" s="160">
        <f>'DATA Growth'!L56*'DATA Growth'!L35/1000</f>
        <v>16.8</v>
      </c>
      <c r="I16" s="160">
        <f>'DATA Growth'!M56*'DATA Growth'!M35/1000</f>
        <v>17.297280000000004</v>
      </c>
      <c r="J16" s="160">
        <f>'DATA Growth'!N56*'DATA Growth'!N35/1000</f>
        <v>17.809279488000005</v>
      </c>
      <c r="K16" s="160">
        <f>'DATA Growth'!O56*'DATA Growth'!O35/1000</f>
        <v>18.336434160844806</v>
      </c>
      <c r="L16" s="160">
        <f>'DATA Growth'!P56*'DATA Growth'!P35/1000</f>
        <v>18.879192612005813</v>
      </c>
      <c r="M16" s="159">
        <f>'DATA Growth'!Q56*'DATA Growth'!Q35/1000</f>
        <v>19.438016713321186</v>
      </c>
      <c r="N16" s="161">
        <f>'DATA Growth'!R56*'DATA Growth'!R35/1000</f>
        <v>20.013382008035492</v>
      </c>
      <c r="O16" s="159">
        <f>'DATA Growth'!S56*'DATA Growth'!S35/1000</f>
        <v>20.60577811547334</v>
      </c>
      <c r="P16" s="160">
        <f>'DATA Growth'!T56*'DATA Growth'!T35/1000</f>
        <v>21.21570914769135</v>
      </c>
      <c r="Q16" s="160">
        <f>'DATA Growth'!U56*'DATA Growth'!U35/1000</f>
        <v>21.843694138463015</v>
      </c>
      <c r="R16" s="160">
        <f>'DATA Growth'!V56*'DATA Growth'!V35/1000</f>
        <v>22.49026748496152</v>
      </c>
      <c r="S16" s="161">
        <f>'DATA Growth'!W56*'DATA Growth'!W35/1000</f>
        <v>23.155979402516387</v>
      </c>
    </row>
    <row r="17" spans="1:19" ht="15" customHeight="1">
      <c r="A17" s="362" t="s">
        <v>94</v>
      </c>
      <c r="B17" s="160">
        <f>'DATA Growth'!F57*'DATA Growth'!F36/1000</f>
        <v>4.44981948512768</v>
      </c>
      <c r="C17" s="160">
        <f>'DATA Growth'!G57*'DATA Growth'!G36/1000</f>
        <v>4.494317679978957</v>
      </c>
      <c r="D17" s="160">
        <f>'DATA Growth'!H57*'DATA Growth'!H36/1000</f>
        <v>4.539260856778746</v>
      </c>
      <c r="E17" s="160">
        <f>'DATA Growth'!I57*'DATA Growth'!I36/1000</f>
        <v>4.584653465346534</v>
      </c>
      <c r="F17" s="160">
        <f>'DATA Growth'!J57*'DATA Growth'!J36/1000</f>
        <v>4.6305</v>
      </c>
      <c r="G17" s="160">
        <f>'DATA Growth'!K57*'DATA Growth'!K36/1000</f>
        <v>5.04</v>
      </c>
      <c r="H17" s="160">
        <f>'DATA Growth'!L57*'DATA Growth'!L36/1000</f>
        <v>4.44</v>
      </c>
      <c r="I17" s="160">
        <f>'DATA Growth'!M57*'DATA Growth'!M36/1000</f>
        <v>4.61538</v>
      </c>
      <c r="J17" s="160">
        <f>'DATA Growth'!N57*'DATA Growth'!N36/1000</f>
        <v>4.79768751</v>
      </c>
      <c r="K17" s="160">
        <f>'DATA Growth'!O57*'DATA Growth'!O36/1000</f>
        <v>4.987196166645001</v>
      </c>
      <c r="L17" s="160">
        <f>'DATA Growth'!P57*'DATA Growth'!P36/1000</f>
        <v>5.184190415227478</v>
      </c>
      <c r="M17" s="159">
        <f>'DATA Growth'!Q57*'DATA Growth'!Q36/1000</f>
        <v>5.3889659366289635</v>
      </c>
      <c r="N17" s="161">
        <f>'DATA Growth'!R57*'DATA Growth'!R36/1000</f>
        <v>5.601830091125809</v>
      </c>
      <c r="O17" s="159">
        <f>'DATA Growth'!S57*'DATA Growth'!S36/1000</f>
        <v>5.823102379725278</v>
      </c>
      <c r="P17" s="160">
        <f>'DATA Growth'!T57*'DATA Growth'!T36/1000</f>
        <v>6.0531149237244275</v>
      </c>
      <c r="Q17" s="160">
        <f>'DATA Growth'!U57*'DATA Growth'!U36/1000</f>
        <v>6.292212963211542</v>
      </c>
      <c r="R17" s="160">
        <f>'DATA Growth'!V57*'DATA Growth'!V36/1000</f>
        <v>6.540755375258399</v>
      </c>
      <c r="S17" s="161">
        <f>'DATA Growth'!W57*'DATA Growth'!W36/1000</f>
        <v>6.799115212581107</v>
      </c>
    </row>
    <row r="18" spans="1:19" ht="15" customHeight="1">
      <c r="A18" s="362" t="s">
        <v>96</v>
      </c>
      <c r="B18" s="160">
        <f>'DATA Growth'!F58*'DATA Growth'!F37/1000</f>
        <v>8.4</v>
      </c>
      <c r="C18" s="160">
        <f>'DATA Growth'!G58*'DATA Growth'!G37/1000</f>
        <v>8.4</v>
      </c>
      <c r="D18" s="160">
        <f>'DATA Growth'!H58*'DATA Growth'!H37/1000</f>
        <v>8.4</v>
      </c>
      <c r="E18" s="160">
        <f>'DATA Growth'!I58*'DATA Growth'!I37/1000</f>
        <v>8.4</v>
      </c>
      <c r="F18" s="160">
        <f>'DATA Growth'!J58*'DATA Growth'!J37/1000</f>
        <v>8.4</v>
      </c>
      <c r="G18" s="160">
        <f>'DATA Growth'!K58*'DATA Growth'!K37/1000</f>
        <v>8.4</v>
      </c>
      <c r="H18" s="160">
        <f>'DATA Growth'!L58*'DATA Growth'!L37/1000</f>
        <v>8.4</v>
      </c>
      <c r="I18" s="160">
        <f>'DATA Growth'!M58*'DATA Growth'!M37/1000</f>
        <v>8.316</v>
      </c>
      <c r="J18" s="160">
        <f>'DATA Growth'!N58*'DATA Growth'!N37/1000</f>
        <v>8.23284</v>
      </c>
      <c r="K18" s="160">
        <f>'DATA Growth'!O58*'DATA Growth'!O37/1000</f>
        <v>8.1505116</v>
      </c>
      <c r="L18" s="160">
        <f>'DATA Growth'!P58*'DATA Growth'!P37/1000</f>
        <v>8.069006483999999</v>
      </c>
      <c r="M18" s="159">
        <f>'DATA Growth'!Q58*'DATA Growth'!Q37/1000</f>
        <v>7.988316419159999</v>
      </c>
      <c r="N18" s="161">
        <f>'DATA Growth'!R58*'DATA Growth'!R37/1000</f>
        <v>7.9084332549684</v>
      </c>
      <c r="O18" s="159">
        <f>'DATA Growth'!S58*'DATA Growth'!S37/1000</f>
        <v>7.829348922418716</v>
      </c>
      <c r="P18" s="160">
        <f>'DATA Growth'!T58*'DATA Growth'!T37/1000</f>
        <v>7.751055433194528</v>
      </c>
      <c r="Q18" s="160">
        <f>'DATA Growth'!U58*'DATA Growth'!U37/1000</f>
        <v>7.673544878862583</v>
      </c>
      <c r="R18" s="160">
        <f>'DATA Growth'!V58*'DATA Growth'!V37/1000</f>
        <v>7.596809430073957</v>
      </c>
      <c r="S18" s="161">
        <f>'DATA Growth'!W58*'DATA Growth'!W37/1000</f>
        <v>7.520841335773219</v>
      </c>
    </row>
    <row r="19" spans="1:19" ht="15" customHeight="1">
      <c r="A19" s="362" t="s">
        <v>5</v>
      </c>
      <c r="B19" s="160">
        <f>'DATA Growth'!F59*'DATA Growth'!F38/1000</f>
        <v>0</v>
      </c>
      <c r="C19" s="160">
        <f>'DATA Growth'!G59*'DATA Growth'!G38/1000</f>
        <v>0</v>
      </c>
      <c r="D19" s="160">
        <f>'DATA Growth'!H59*'DATA Growth'!H38/1000</f>
        <v>0</v>
      </c>
      <c r="E19" s="160">
        <f>'DATA Growth'!I59*'DATA Growth'!I38/1000</f>
        <v>0</v>
      </c>
      <c r="F19" s="160">
        <f>'DATA Growth'!J59*'DATA Growth'!J38/1000</f>
        <v>0.0980296049406921</v>
      </c>
      <c r="G19" s="160">
        <f>'DATA Growth'!K59*'DATA Growth'!K38/1000</f>
        <v>0.19801980198019803</v>
      </c>
      <c r="H19" s="160">
        <f>'DATA Growth'!L59*'DATA Growth'!L38/1000</f>
        <v>0.3</v>
      </c>
      <c r="I19" s="160">
        <f>'DATA Growth'!M59*'DATA Growth'!M38/1000</f>
        <v>0.5253</v>
      </c>
      <c r="J19" s="160">
        <f>'DATA Growth'!N59*'DATA Growth'!N38/1000</f>
        <v>0.9198003</v>
      </c>
      <c r="K19" s="160">
        <f>'DATA Growth'!O59*'DATA Growth'!O38/1000</f>
        <v>1.6105703252999999</v>
      </c>
      <c r="L19" s="160">
        <f>'DATA Growth'!P59*'DATA Growth'!P38/1000</f>
        <v>2.8201086396002997</v>
      </c>
      <c r="M19" s="159">
        <f>'DATA Growth'!Q59*'DATA Growth'!Q38/1000</f>
        <v>4.938010227940125</v>
      </c>
      <c r="N19" s="161">
        <f>'DATA Growth'!R59*'DATA Growth'!R38/1000</f>
        <v>8.646455909123159</v>
      </c>
      <c r="O19" s="159">
        <f>'DATA Growth'!S59*'DATA Growth'!S38/1000</f>
        <v>15.139944296874647</v>
      </c>
      <c r="P19" s="160">
        <f>'DATA Growth'!T59*'DATA Growth'!T38/1000</f>
        <v>26.51004246382751</v>
      </c>
      <c r="Q19" s="160">
        <f>'DATA Growth'!U59*'DATA Growth'!U38/1000</f>
        <v>46.41908435416197</v>
      </c>
      <c r="R19" s="160">
        <f>'DATA Growth'!V59*'DATA Growth'!V38/1000</f>
        <v>81.27981670413762</v>
      </c>
      <c r="S19" s="161">
        <f>'DATA Growth'!W59*'DATA Growth'!W38/1000</f>
        <v>142.32095904894499</v>
      </c>
    </row>
    <row r="20" spans="1:19" ht="15" customHeight="1">
      <c r="A20" s="362" t="s">
        <v>33</v>
      </c>
      <c r="B20" s="160">
        <f>'DATA Growth'!F60*'DATA Growth'!F39/1000</f>
        <v>0</v>
      </c>
      <c r="C20" s="160">
        <f>'DATA Growth'!G60*'DATA Growth'!G39/1000</f>
        <v>0</v>
      </c>
      <c r="D20" s="160">
        <f>'DATA Growth'!H60*'DATA Growth'!H39/1000</f>
        <v>0</v>
      </c>
      <c r="E20" s="160">
        <f>'DATA Growth'!I60*'DATA Growth'!I39/1000</f>
        <v>0</v>
      </c>
      <c r="F20" s="160">
        <f>'DATA Growth'!J60*'DATA Growth'!J39/1000</f>
        <v>6.032613818456028</v>
      </c>
      <c r="G20" s="160">
        <f>'DATA Growth'!K60*'DATA Growth'!K39/1000</f>
        <v>9.70873786407767</v>
      </c>
      <c r="H20" s="160">
        <f>'DATA Growth'!L60*'DATA Growth'!L39/1000</f>
        <v>11.2</v>
      </c>
      <c r="I20" s="160">
        <f>'DATA Growth'!M60*'DATA Growth'!M39/1000</f>
        <v>14.420000000000002</v>
      </c>
      <c r="J20" s="160">
        <f>'DATA Growth'!N60*'DATA Growth'!N39/1000</f>
        <v>18.565750000000005</v>
      </c>
      <c r="K20" s="160">
        <f>'DATA Growth'!O60*'DATA Growth'!O39/1000</f>
        <v>23.903403125000004</v>
      </c>
      <c r="L20" s="160">
        <f>'DATA Growth'!P60*'DATA Growth'!P39/1000</f>
        <v>30.775631523437504</v>
      </c>
      <c r="M20" s="159">
        <f>'DATA Growth'!Q60*'DATA Growth'!Q39/1000</f>
        <v>39.62362558642579</v>
      </c>
      <c r="N20" s="161">
        <f>'DATA Growth'!R60*'DATA Growth'!R39/1000</f>
        <v>51.0154179425232</v>
      </c>
      <c r="O20" s="159">
        <f>'DATA Growth'!S60*'DATA Growth'!S39/1000</f>
        <v>65.68235060099863</v>
      </c>
      <c r="P20" s="160">
        <f>'DATA Growth'!T60*'DATA Growth'!T39/1000</f>
        <v>84.56602639878574</v>
      </c>
      <c r="Q20" s="160">
        <f>'DATA Growth'!U60*'DATA Growth'!U39/1000</f>
        <v>108.87875898843663</v>
      </c>
      <c r="R20" s="160">
        <f>'DATA Growth'!V60*'DATA Growth'!V39/1000</f>
        <v>140.18140219761216</v>
      </c>
      <c r="S20" s="161">
        <f>'DATA Growth'!W60*'DATA Growth'!W39/1000</f>
        <v>180.48355532942566</v>
      </c>
    </row>
    <row r="21" spans="1:19" ht="15" customHeight="1">
      <c r="A21" s="362" t="s">
        <v>101</v>
      </c>
      <c r="B21" s="160">
        <f>'DATA Growth'!F61*'DATA Growth'!F40/1000</f>
        <v>0</v>
      </c>
      <c r="C21" s="160">
        <f>'DATA Growth'!G61*'DATA Growth'!G40/1000</f>
        <v>2.017994299942253</v>
      </c>
      <c r="D21" s="160">
        <f>'DATA Growth'!H61*'DATA Growth'!H40/1000</f>
        <v>2.3973772283313974</v>
      </c>
      <c r="E21" s="160">
        <f>'DATA Growth'!I61*'DATA Growth'!I40/1000</f>
        <v>2.9301277235161525</v>
      </c>
      <c r="F21" s="160">
        <f>'DATA Growth'!J61*'DATA Growth'!J40/1000</f>
        <v>3.438016528925619</v>
      </c>
      <c r="G21" s="160">
        <f>'DATA Growth'!K61*'DATA Growth'!K40/1000</f>
        <v>4.136363636363636</v>
      </c>
      <c r="H21" s="160">
        <f>'DATA Growth'!L61*'DATA Growth'!L40/1000</f>
        <v>4.94</v>
      </c>
      <c r="I21" s="160">
        <f>'DATA Growth'!M61*'DATA Growth'!M40/1000</f>
        <v>6.078669999999999</v>
      </c>
      <c r="J21" s="160">
        <f>'DATA Growth'!N61*'DATA Growth'!N40/1000</f>
        <v>7.479803434999998</v>
      </c>
      <c r="K21" s="160">
        <f>'DATA Growth'!O61*'DATA Growth'!O40/1000</f>
        <v>9.203898126767497</v>
      </c>
      <c r="L21" s="160">
        <f>'DATA Growth'!P61*'DATA Growth'!P40/1000</f>
        <v>11.325396644987405</v>
      </c>
      <c r="M21" s="159">
        <f>'DATA Growth'!Q61*'DATA Growth'!Q40/1000</f>
        <v>13.935900571657003</v>
      </c>
      <c r="N21" s="161">
        <f>'DATA Growth'!R61*'DATA Growth'!R40/1000</f>
        <v>17.14812565342394</v>
      </c>
      <c r="O21" s="159">
        <f>'DATA Growth'!S61*'DATA Growth'!S40/1000</f>
        <v>21.10076861653816</v>
      </c>
      <c r="P21" s="160">
        <f>'DATA Growth'!T61*'DATA Growth'!T40/1000</f>
        <v>25.964495782650204</v>
      </c>
      <c r="Q21" s="160">
        <f>'DATA Growth'!U61*'DATA Growth'!U40/1000</f>
        <v>31.949312060551076</v>
      </c>
      <c r="R21" s="160">
        <f>'DATA Growth'!V61*'DATA Growth'!V40/1000</f>
        <v>39.313628490508094</v>
      </c>
      <c r="S21" s="161">
        <f>'DATA Growth'!W61*'DATA Growth'!W40/1000</f>
        <v>48.37541985757021</v>
      </c>
    </row>
    <row r="22" spans="1:19" ht="15" customHeight="1">
      <c r="A22" s="363" t="s">
        <v>16</v>
      </c>
      <c r="B22" s="220">
        <f>'DATA Growth'!F62*'DATA Growth'!F41/1000</f>
        <v>0</v>
      </c>
      <c r="C22" s="220">
        <f>'DATA Growth'!G62*'DATA Growth'!G41/1000</f>
        <v>0.04313043921920819</v>
      </c>
      <c r="D22" s="220">
        <f>'DATA Growth'!H62*'DATA Growth'!H41/1000</f>
        <v>0.13327305718735333</v>
      </c>
      <c r="E22" s="220">
        <f>'DATA Growth'!I62*'DATA Growth'!I41/1000</f>
        <v>0.22878541483828985</v>
      </c>
      <c r="F22" s="220">
        <f>'DATA Growth'!J62*'DATA Growth'!J41/1000</f>
        <v>0.47129795456687706</v>
      </c>
      <c r="G22" s="220">
        <f>'DATA Growth'!K62*'DATA Growth'!K41/1000</f>
        <v>0.7766990291262136</v>
      </c>
      <c r="H22" s="220">
        <f>'DATA Growth'!L62*'DATA Growth'!L41/1000</f>
        <v>1.25</v>
      </c>
      <c r="I22" s="220">
        <f>'DATA Growth'!M62*'DATA Growth'!M41/1000</f>
        <v>1.72125</v>
      </c>
      <c r="J22" s="220">
        <f>'DATA Growth'!N62*'DATA Growth'!N41/1000</f>
        <v>2.37016125</v>
      </c>
      <c r="K22" s="220">
        <f>'DATA Growth'!O62*'DATA Growth'!O41/1000</f>
        <v>3.2637120412500003</v>
      </c>
      <c r="L22" s="220">
        <f>'DATA Growth'!P62*'DATA Growth'!P41/1000</f>
        <v>4.494131480801252</v>
      </c>
      <c r="M22" s="219">
        <f>'DATA Growth'!Q62*'DATA Growth'!Q41/1000</f>
        <v>6.188419049063323</v>
      </c>
      <c r="N22" s="222">
        <f>'DATA Growth'!R62*'DATA Growth'!R41/1000</f>
        <v>8.521453030560197</v>
      </c>
      <c r="O22" s="159">
        <f>'DATA Growth'!S62*'DATA Growth'!S41/1000</f>
        <v>11.73404082308139</v>
      </c>
      <c r="P22" s="160">
        <f>'DATA Growth'!T62*'DATA Growth'!T41/1000</f>
        <v>16.157774213383075</v>
      </c>
      <c r="Q22" s="160">
        <f>'DATA Growth'!U62*'DATA Growth'!U41/1000</f>
        <v>22.249255091828495</v>
      </c>
      <c r="R22" s="160">
        <f>'DATA Growth'!V62*'DATA Growth'!V41/1000</f>
        <v>30.637224261447837</v>
      </c>
      <c r="S22" s="161">
        <f>'DATA Growth'!W62*'DATA Growth'!W41/1000</f>
        <v>42.187457808013676</v>
      </c>
    </row>
    <row r="23" spans="1:19" ht="15" customHeight="1">
      <c r="A23" s="361" t="s">
        <v>172</v>
      </c>
      <c r="B23" s="163">
        <f aca="true" t="shared" si="0" ref="B23:G24">B49*0.3</f>
        <v>12.154644329861112</v>
      </c>
      <c r="C23" s="163">
        <f t="shared" si="0"/>
        <v>11.548086874999997</v>
      </c>
      <c r="D23" s="163">
        <f t="shared" si="0"/>
        <v>12.939236496516296</v>
      </c>
      <c r="E23" s="163">
        <f t="shared" si="0"/>
        <v>12.534644249999998</v>
      </c>
      <c r="F23" s="163">
        <f t="shared" si="0"/>
        <v>13.0645375</v>
      </c>
      <c r="G23" s="163">
        <f t="shared" si="0"/>
        <v>14.546418</v>
      </c>
      <c r="H23" s="364">
        <f aca="true" t="shared" si="1" ref="H23:H24">H49*0.3</f>
        <v>15.720638984999997</v>
      </c>
      <c r="I23" s="163">
        <f aca="true" t="shared" si="2" ref="I23:N24">I49*0.3</f>
        <v>17.171423543654996</v>
      </c>
      <c r="J23" s="163">
        <f t="shared" si="2"/>
        <v>18.890826595999695</v>
      </c>
      <c r="K23" s="163">
        <f t="shared" si="2"/>
        <v>20.916365400989992</v>
      </c>
      <c r="L23" s="163">
        <f t="shared" si="2"/>
        <v>23.29185921675347</v>
      </c>
      <c r="M23" s="162">
        <f t="shared" si="2"/>
        <v>26.0684066189129</v>
      </c>
      <c r="N23" s="163">
        <f t="shared" si="2"/>
        <v>29.305521276906724</v>
      </c>
      <c r="O23" s="162">
        <f aca="true" t="shared" si="3" ref="O23:S24">O49*0.3</f>
        <v>32.74279237710256</v>
      </c>
      <c r="P23" s="163">
        <f t="shared" si="3"/>
        <v>36.62785503935233</v>
      </c>
      <c r="Q23" s="163">
        <f t="shared" si="3"/>
        <v>41.01779133877838</v>
      </c>
      <c r="R23" s="163">
        <f t="shared" si="3"/>
        <v>45.97703470169624</v>
      </c>
      <c r="S23" s="164">
        <f t="shared" si="3"/>
        <v>51.57831803037449</v>
      </c>
    </row>
    <row r="24" spans="1:19" ht="15" customHeight="1">
      <c r="A24" s="363" t="s">
        <v>327</v>
      </c>
      <c r="B24" s="220">
        <f t="shared" si="0"/>
        <v>9.253198529647504</v>
      </c>
      <c r="C24" s="220">
        <f t="shared" si="0"/>
        <v>9.729105154626874</v>
      </c>
      <c r="D24" s="220">
        <f t="shared" si="0"/>
        <v>11.103042384720135</v>
      </c>
      <c r="E24" s="220">
        <f t="shared" si="0"/>
        <v>13.065367322501878</v>
      </c>
      <c r="F24" s="220">
        <f t="shared" si="0"/>
        <v>14.687950124612602</v>
      </c>
      <c r="G24" s="220">
        <f t="shared" si="0"/>
        <v>15.637219609765909</v>
      </c>
      <c r="H24" s="365">
        <f t="shared" si="1"/>
        <v>15.765148419237212</v>
      </c>
      <c r="I24" s="220">
        <f t="shared" si="2"/>
        <v>16.45881494968365</v>
      </c>
      <c r="J24" s="220">
        <f t="shared" si="2"/>
        <v>17.183002807469727</v>
      </c>
      <c r="K24" s="220">
        <f t="shared" si="2"/>
        <v>17.939054930998395</v>
      </c>
      <c r="L24" s="220">
        <f t="shared" si="2"/>
        <v>18.728373347962325</v>
      </c>
      <c r="M24" s="219">
        <f t="shared" si="2"/>
        <v>19.552421775272666</v>
      </c>
      <c r="N24" s="220">
        <f t="shared" si="2"/>
        <v>20.41272833338466</v>
      </c>
      <c r="O24" s="219">
        <f t="shared" si="3"/>
        <v>21.310888380053587</v>
      </c>
      <c r="P24" s="220">
        <f t="shared" si="3"/>
        <v>22.24856746877594</v>
      </c>
      <c r="Q24" s="220">
        <f t="shared" si="3"/>
        <v>23.227504437402082</v>
      </c>
      <c r="R24" s="220">
        <f t="shared" si="3"/>
        <v>24.24951463264777</v>
      </c>
      <c r="S24" s="222">
        <f t="shared" si="3"/>
        <v>25.31649327648427</v>
      </c>
    </row>
    <row r="25" spans="1:19" ht="15" customHeight="1">
      <c r="A25" s="153" t="s">
        <v>328</v>
      </c>
      <c r="B25" s="366">
        <f>SUM(B6:B24)</f>
        <v>475.9553071458097</v>
      </c>
      <c r="C25" s="366">
        <f>SUM(C6:C24)</f>
        <v>497.8238809335922</v>
      </c>
      <c r="D25" s="366">
        <f>SUM(D6:D24)</f>
        <v>524.7230288628889</v>
      </c>
      <c r="E25" s="366">
        <f>SUM(E6:E24)</f>
        <v>554.7182315197635</v>
      </c>
      <c r="F25" s="366">
        <f>SUM(F6:F24)</f>
        <v>596.1994743269064</v>
      </c>
      <c r="G25" s="366">
        <f aca="true" t="shared" si="4" ref="G25:H25">SUM(G6:G24)</f>
        <v>638.013674571089</v>
      </c>
      <c r="H25" s="367">
        <f t="shared" si="4"/>
        <v>681.3533499042373</v>
      </c>
      <c r="I25" s="366">
        <f>SUM(I6:I24)</f>
        <v>705.4583486308386</v>
      </c>
      <c r="J25" s="366">
        <f aca="true" t="shared" si="5" ref="J25:K25">SUM(J6:J24)</f>
        <v>744.422546609872</v>
      </c>
      <c r="K25" s="366">
        <f t="shared" si="5"/>
        <v>788.6117586595616</v>
      </c>
      <c r="L25" s="366">
        <f>SUM(L6:L24)</f>
        <v>839.0905691957031</v>
      </c>
      <c r="M25" s="368">
        <f>SUM(M6:M24)</f>
        <v>897.3150826009991</v>
      </c>
      <c r="N25" s="369">
        <f>SUM(N6:N24)</f>
        <v>965.3241315624299</v>
      </c>
      <c r="O25" s="370">
        <f aca="true" t="shared" si="6" ref="O25:S25">SUM(O6:O24)</f>
        <v>1045.7161619052522</v>
      </c>
      <c r="P25" s="370">
        <f t="shared" si="6"/>
        <v>1142.975242647928</v>
      </c>
      <c r="Q25" s="370">
        <f t="shared" si="6"/>
        <v>1263.596466661609</v>
      </c>
      <c r="R25" s="370">
        <f t="shared" si="6"/>
        <v>1417.6631576595648</v>
      </c>
      <c r="S25" s="370">
        <f t="shared" si="6"/>
        <v>1621.1789384525496</v>
      </c>
    </row>
    <row r="29" spans="1:14" ht="15" customHeight="1">
      <c r="A29" s="371"/>
      <c r="B29" s="372"/>
      <c r="C29" s="372"/>
      <c r="D29" s="372"/>
      <c r="E29" s="372"/>
      <c r="F29" s="372"/>
      <c r="G29" s="372"/>
      <c r="H29" s="373"/>
      <c r="I29" s="371"/>
      <c r="J29" s="371"/>
      <c r="K29" s="371"/>
      <c r="L29" s="371"/>
      <c r="M29" s="371"/>
      <c r="N29" s="371"/>
    </row>
    <row r="30" spans="1:14" ht="15" customHeight="1">
      <c r="A30" s="374"/>
      <c r="B30" s="375"/>
      <c r="C30" s="375"/>
      <c r="D30" s="375"/>
      <c r="E30" s="375"/>
      <c r="F30" s="375"/>
      <c r="G30" s="375"/>
      <c r="H30" s="376"/>
      <c r="I30" s="375"/>
      <c r="J30" s="375"/>
      <c r="K30" s="375"/>
      <c r="L30" s="375"/>
      <c r="M30" s="375"/>
      <c r="N30" s="375"/>
    </row>
    <row r="31" spans="1:19" ht="30" customHeight="1">
      <c r="A31" s="151" t="s">
        <v>329</v>
      </c>
      <c r="B31" s="153">
        <v>2013</v>
      </c>
      <c r="C31" s="152">
        <v>2014</v>
      </c>
      <c r="D31" s="152">
        <v>2015</v>
      </c>
      <c r="E31" s="152">
        <v>2016</v>
      </c>
      <c r="F31" s="152">
        <v>2017</v>
      </c>
      <c r="G31" s="152">
        <v>2018</v>
      </c>
      <c r="H31" s="360">
        <v>2019</v>
      </c>
      <c r="I31" s="152">
        <v>2020</v>
      </c>
      <c r="J31" s="152">
        <v>2021</v>
      </c>
      <c r="K31" s="152">
        <v>2022</v>
      </c>
      <c r="L31" s="154">
        <v>2023</v>
      </c>
      <c r="M31" s="153">
        <v>2024</v>
      </c>
      <c r="N31" s="154">
        <v>2025</v>
      </c>
      <c r="O31" s="153">
        <v>2026</v>
      </c>
      <c r="P31" s="152">
        <v>2027</v>
      </c>
      <c r="Q31" s="152">
        <v>2028</v>
      </c>
      <c r="R31" s="152">
        <v>2029</v>
      </c>
      <c r="S31" s="154">
        <v>2030</v>
      </c>
    </row>
    <row r="32" spans="1:19" s="143" customFormat="1" ht="15" customHeight="1">
      <c r="A32" s="155" t="s">
        <v>74</v>
      </c>
      <c r="B32" s="159">
        <f>'DATA Growth'!F25*'DATA Growth'!F66/1000</f>
        <v>194.77318998573043</v>
      </c>
      <c r="C32" s="160">
        <f>'DATA Growth'!G25*'DATA Growth'!G66/1000</f>
        <v>183.08679858658658</v>
      </c>
      <c r="D32" s="160">
        <f>'DATA Growth'!H25*'DATA Growth'!H66/1000</f>
        <v>172.10159067139136</v>
      </c>
      <c r="E32" s="160">
        <f>'DATA Growth'!I25*'DATA Growth'!I66/1000</f>
        <v>161.7754952311079</v>
      </c>
      <c r="F32" s="160">
        <f>'DATA Growth'!J25*'DATA Growth'!J66/1000</f>
        <v>152.0689655172414</v>
      </c>
      <c r="G32" s="160">
        <f>'DATA Growth'!K25*'DATA Growth'!K66/1000</f>
        <v>148.26724137931035</v>
      </c>
      <c r="H32" s="160">
        <f>'DATA Growth'!L25*'DATA Growth'!L66/1000</f>
        <v>144.5605603448276</v>
      </c>
      <c r="I32" s="160">
        <f>'DATA Growth'!M25*'DATA Growth'!M66/1000</f>
        <v>141.66934913793105</v>
      </c>
      <c r="J32" s="160">
        <f>'DATA Growth'!N25*'DATA Growth'!N66/1000</f>
        <v>138.8359621551724</v>
      </c>
      <c r="K32" s="160">
        <f>'DATA Growth'!O25*'DATA Growth'!O66/1000</f>
        <v>136.05924291206895</v>
      </c>
      <c r="L32" s="161">
        <f>'DATA Growth'!P25*'DATA Growth'!P66/1000</f>
        <v>133.33805805382758</v>
      </c>
      <c r="M32" s="159">
        <f>'DATA Growth'!Q25*'DATA Growth'!Q66/1000</f>
        <v>130.67129689275103</v>
      </c>
      <c r="N32" s="161">
        <f>'DATA Growth'!R25*'DATA Growth'!R66/1000</f>
        <v>128.05787095489598</v>
      </c>
      <c r="O32" s="159">
        <f>'DATA Growth'!S25*'DATA Growth'!S66/1000</f>
        <v>125.49671353579807</v>
      </c>
      <c r="P32" s="160">
        <f>'DATA Growth'!T25*'DATA Growth'!T66/1000</f>
        <v>122.9867792650821</v>
      </c>
      <c r="Q32" s="160">
        <f>'DATA Growth'!U25*'DATA Growth'!U66/1000</f>
        <v>120.52704367978046</v>
      </c>
      <c r="R32" s="160">
        <f>'DATA Growth'!V25*'DATA Growth'!V66/1000</f>
        <v>118.11650280618484</v>
      </c>
      <c r="S32" s="161">
        <f>'DATA Growth'!W25*'DATA Growth'!W66/1000</f>
        <v>115.75417275006113</v>
      </c>
    </row>
    <row r="33" spans="1:19" ht="15" customHeight="1">
      <c r="A33" s="155" t="s">
        <v>76</v>
      </c>
      <c r="B33" s="159">
        <f>'DATA Growth'!F26*'DATA Growth'!F67/1000</f>
        <v>148.91148684804372</v>
      </c>
      <c r="C33" s="160">
        <f>'DATA Growth'!G26*'DATA Growth'!G67/1000</f>
        <v>151.77058739552615</v>
      </c>
      <c r="D33" s="160">
        <f>'DATA Growth'!H26*'DATA Growth'!H67/1000</f>
        <v>154.68458267352025</v>
      </c>
      <c r="E33" s="160">
        <f>'DATA Growth'!I26*'DATA Growth'!I67/1000</f>
        <v>157.65452666085187</v>
      </c>
      <c r="F33" s="160">
        <f>'DATA Growth'!J26*'DATA Growth'!J67/1000</f>
        <v>160.68149357274024</v>
      </c>
      <c r="G33" s="160">
        <f>'DATA Growth'!K26*'DATA Growth'!K67/1000</f>
        <v>167.10875331564986</v>
      </c>
      <c r="H33" s="160">
        <f>'DATA Growth'!L26*'DATA Growth'!L67/1000</f>
        <v>173.79310344827587</v>
      </c>
      <c r="I33" s="160">
        <f>'DATA Growth'!M26*'DATA Growth'!M67/1000</f>
        <v>182.48275862068968</v>
      </c>
      <c r="J33" s="160">
        <f>'DATA Growth'!N26*'DATA Growth'!N67/1000</f>
        <v>191.60689655172413</v>
      </c>
      <c r="K33" s="160">
        <f>'DATA Growth'!O26*'DATA Growth'!O67/1000</f>
        <v>201.18724137931036</v>
      </c>
      <c r="L33" s="161">
        <f>'DATA Growth'!P26*'DATA Growth'!P67/1000</f>
        <v>211.24660344827592</v>
      </c>
      <c r="M33" s="159">
        <f>'DATA Growth'!Q26*'DATA Growth'!Q67/1000</f>
        <v>221.80893362068971</v>
      </c>
      <c r="N33" s="161">
        <f>'DATA Growth'!R26*'DATA Growth'!R67/1000</f>
        <v>232.89938030172422</v>
      </c>
      <c r="O33" s="159">
        <f>'DATA Growth'!S26*'DATA Growth'!S67/1000</f>
        <v>244.54434931681044</v>
      </c>
      <c r="P33" s="160">
        <f>'DATA Growth'!T26*'DATA Growth'!T67/1000</f>
        <v>256.77156678265095</v>
      </c>
      <c r="Q33" s="160">
        <f>'DATA Growth'!U26*'DATA Growth'!U67/1000</f>
        <v>269.61014512178355</v>
      </c>
      <c r="R33" s="160">
        <f>'DATA Growth'!V26*'DATA Growth'!V67/1000</f>
        <v>283.0906523778727</v>
      </c>
      <c r="S33" s="161">
        <f>'DATA Growth'!W26*'DATA Growth'!W67/1000</f>
        <v>297.24518499676634</v>
      </c>
    </row>
    <row r="34" spans="1:19" ht="15" customHeight="1">
      <c r="A34" s="155" t="s">
        <v>325</v>
      </c>
      <c r="B34" s="159">
        <f>'DATA Growth'!F27*'DATA Growth'!F68/1000</f>
        <v>201.98008569593298</v>
      </c>
      <c r="C34" s="160">
        <f>'DATA Growth'!G27*'DATA Growth'!G68/1000</f>
        <v>197.9404839820143</v>
      </c>
      <c r="D34" s="160">
        <f>'DATA Growth'!H27*'DATA Growth'!H68/1000</f>
        <v>193.98167430237405</v>
      </c>
      <c r="E34" s="160">
        <f>'DATA Growth'!I27*'DATA Growth'!I68/1000</f>
        <v>190.10204081632654</v>
      </c>
      <c r="F34" s="160">
        <f>'DATA Growth'!J27*'DATA Growth'!J68/1000</f>
        <v>186.3</v>
      </c>
      <c r="G34" s="160">
        <f>'DATA Growth'!K27*'DATA Growth'!K68/1000</f>
        <v>186.3</v>
      </c>
      <c r="H34" s="160">
        <f>'DATA Growth'!L27*'DATA Growth'!L68/1000</f>
        <v>186.3</v>
      </c>
      <c r="I34" s="160">
        <f>'DATA Growth'!M27*'DATA Growth'!M68/1000</f>
        <v>186.3</v>
      </c>
      <c r="J34" s="160">
        <f>'DATA Growth'!N27*'DATA Growth'!N68/1000</f>
        <v>186.3</v>
      </c>
      <c r="K34" s="160">
        <f>'DATA Growth'!O27*'DATA Growth'!O68/1000</f>
        <v>186.3</v>
      </c>
      <c r="L34" s="161">
        <f>'DATA Growth'!P27*'DATA Growth'!P68/1000</f>
        <v>186.3</v>
      </c>
      <c r="M34" s="159">
        <f>'DATA Growth'!Q27*'DATA Growth'!Q68/1000</f>
        <v>186.3</v>
      </c>
      <c r="N34" s="161">
        <f>'DATA Growth'!R27*'DATA Growth'!R68/1000</f>
        <v>186.3</v>
      </c>
      <c r="O34" s="159">
        <f>'DATA Growth'!S27*'DATA Growth'!S68/1000</f>
        <v>186.3</v>
      </c>
      <c r="P34" s="160">
        <f>'DATA Growth'!T27*'DATA Growth'!T68/1000</f>
        <v>186.3</v>
      </c>
      <c r="Q34" s="160">
        <f>'DATA Growth'!U27*'DATA Growth'!U68/1000</f>
        <v>186.3</v>
      </c>
      <c r="R34" s="160">
        <f>'DATA Growth'!V27*'DATA Growth'!V68/1000</f>
        <v>186.3</v>
      </c>
      <c r="S34" s="161">
        <f>'DATA Growth'!W27*'DATA Growth'!W68/1000</f>
        <v>186.3</v>
      </c>
    </row>
    <row r="35" spans="1:19" ht="15" customHeight="1">
      <c r="A35" s="155" t="s">
        <v>79</v>
      </c>
      <c r="B35" s="159">
        <f>'DATA Growth'!F28*'DATA Growth'!F69/1000</f>
        <v>71.95630165991555</v>
      </c>
      <c r="C35" s="160">
        <f>'DATA Growth'!G28*'DATA Growth'!G69/1000</f>
        <v>73.39542769311387</v>
      </c>
      <c r="D35" s="160">
        <f>'DATA Growth'!H28*'DATA Growth'!H69/1000</f>
        <v>74.86333624697615</v>
      </c>
      <c r="E35" s="160">
        <f>'DATA Growth'!I28*'DATA Growth'!I69/1000</f>
        <v>76.36060297191567</v>
      </c>
      <c r="F35" s="160">
        <f>'DATA Growth'!J28*'DATA Growth'!J69/1000</f>
        <v>77.887815031354</v>
      </c>
      <c r="G35" s="160">
        <f>'DATA Growth'!K28*'DATA Growth'!K69/1000</f>
        <v>79.44557133198106</v>
      </c>
      <c r="H35" s="160">
        <f>'DATA Growth'!L28*'DATA Growth'!L69/1000</f>
        <v>81.0344827586207</v>
      </c>
      <c r="I35" s="160">
        <f>'DATA Growth'!M28*'DATA Growth'!M69/1000</f>
        <v>82.65517241379311</v>
      </c>
      <c r="J35" s="160">
        <f>'DATA Growth'!N28*'DATA Growth'!N69/1000</f>
        <v>84.30827586206897</v>
      </c>
      <c r="K35" s="160">
        <f>'DATA Growth'!O28*'DATA Growth'!O69/1000</f>
        <v>85.99444137931035</v>
      </c>
      <c r="L35" s="161">
        <f>'DATA Growth'!P28*'DATA Growth'!P69/1000</f>
        <v>87.71433020689658</v>
      </c>
      <c r="M35" s="159">
        <f>'DATA Growth'!Q28*'DATA Growth'!Q69/1000</f>
        <v>89.46861681103451</v>
      </c>
      <c r="N35" s="161">
        <f>'DATA Growth'!R28*'DATA Growth'!R69/1000</f>
        <v>91.25798914725519</v>
      </c>
      <c r="O35" s="159">
        <f>'DATA Growth'!S28*'DATA Growth'!S69/1000</f>
        <v>93.08314893020031</v>
      </c>
      <c r="P35" s="160">
        <f>'DATA Growth'!T28*'DATA Growth'!T69/1000</f>
        <v>94.9448119088043</v>
      </c>
      <c r="Q35" s="160">
        <f>'DATA Growth'!U28*'DATA Growth'!U69/1000</f>
        <v>96.84370814698039</v>
      </c>
      <c r="R35" s="160">
        <f>'DATA Growth'!V28*'DATA Growth'!V69/1000</f>
        <v>98.78058230992002</v>
      </c>
      <c r="S35" s="161">
        <f>'DATA Growth'!W28*'DATA Growth'!W69/1000</f>
        <v>100.75619395611841</v>
      </c>
    </row>
    <row r="36" spans="1:19" ht="15" customHeight="1">
      <c r="A36" s="155" t="s">
        <v>81</v>
      </c>
      <c r="B36" s="159">
        <f>'DATA Growth'!F29*'DATA Growth'!F70/1000</f>
        <v>54.627149188828994</v>
      </c>
      <c r="C36" s="160">
        <f>'DATA Growth'!G29*'DATA Growth'!G70/1000</f>
        <v>57.90477814015874</v>
      </c>
      <c r="D36" s="160">
        <f>'DATA Growth'!H29*'DATA Growth'!H70/1000</f>
        <v>61.37906482856827</v>
      </c>
      <c r="E36" s="160">
        <f>'DATA Growth'!I29*'DATA Growth'!I70/1000</f>
        <v>65.06180871828238</v>
      </c>
      <c r="F36" s="160">
        <f>'DATA Growth'!J29*'DATA Growth'!J70/1000</f>
        <v>68.96551724137932</v>
      </c>
      <c r="G36" s="160">
        <f>'DATA Growth'!K29*'DATA Growth'!K70/1000</f>
        <v>72.75862068965517</v>
      </c>
      <c r="H36" s="160">
        <f>'DATA Growth'!L29*'DATA Growth'!L70/1000</f>
        <v>76.20689655172414</v>
      </c>
      <c r="I36" s="160">
        <f>'DATA Growth'!M29*'DATA Growth'!M70/1000</f>
        <v>76.95372413793105</v>
      </c>
      <c r="J36" s="160">
        <f>'DATA Growth'!N29*'DATA Growth'!N70/1000</f>
        <v>77.70787063448277</v>
      </c>
      <c r="K36" s="160">
        <f>'DATA Growth'!O29*'DATA Growth'!O70/1000</f>
        <v>78.46940776670071</v>
      </c>
      <c r="L36" s="161">
        <f>'DATA Growth'!P29*'DATA Growth'!P70/1000</f>
        <v>79.23840796281436</v>
      </c>
      <c r="M36" s="159">
        <f>'DATA Growth'!Q29*'DATA Growth'!Q70/1000</f>
        <v>80.01494436084994</v>
      </c>
      <c r="N36" s="161">
        <f>'DATA Growth'!R29*'DATA Growth'!R70/1000</f>
        <v>80.79909081558628</v>
      </c>
      <c r="O36" s="159">
        <f>'DATA Growth'!S29*'DATA Growth'!S70/1000</f>
        <v>81.59092190557904</v>
      </c>
      <c r="P36" s="160">
        <f>'DATA Growth'!T29*'DATA Growth'!T70/1000</f>
        <v>82.3905129402537</v>
      </c>
      <c r="Q36" s="160">
        <f>'DATA Growth'!U29*'DATA Growth'!U70/1000</f>
        <v>83.19793996706818</v>
      </c>
      <c r="R36" s="160">
        <f>'DATA Growth'!V29*'DATA Growth'!V70/1000</f>
        <v>84.01327977874544</v>
      </c>
      <c r="S36" s="161">
        <f>'DATA Growth'!W29*'DATA Growth'!W70/1000</f>
        <v>84.83660992057716</v>
      </c>
    </row>
    <row r="37" spans="1:19" ht="15" customHeight="1">
      <c r="A37" s="155" t="s">
        <v>326</v>
      </c>
      <c r="B37" s="159">
        <f>'DATA Growth'!F30*'DATA Growth'!F71/1000</f>
        <v>175.14009020170656</v>
      </c>
      <c r="C37" s="160">
        <f>'DATA Growth'!G30*'DATA Growth'!G71/1000</f>
        <v>208.01388513256694</v>
      </c>
      <c r="D37" s="160">
        <f>'DATA Growth'!H30*'DATA Growth'!H71/1000</f>
        <v>247.05809137194976</v>
      </c>
      <c r="E37" s="160">
        <f>'DATA Growth'!I30*'DATA Growth'!I71/1000</f>
        <v>293.4308951224648</v>
      </c>
      <c r="F37" s="160">
        <f>'DATA Growth'!J30*'DATA Growth'!J71/1000</f>
        <v>348.50787413695144</v>
      </c>
      <c r="G37" s="160">
        <f>'DATA Growth'!K30*'DATA Growth'!K71/1000</f>
        <v>370.47219633426533</v>
      </c>
      <c r="H37" s="160">
        <f>'DATA Growth'!L30*'DATA Growth'!L71/1000</f>
        <v>401.844827586207</v>
      </c>
      <c r="I37" s="160">
        <f>'DATA Growth'!M30*'DATA Growth'!M71/1000</f>
        <v>401.4110344827587</v>
      </c>
      <c r="J37" s="160">
        <f>'DATA Growth'!N30*'DATA Growth'!N71/1000</f>
        <v>440.38804593103447</v>
      </c>
      <c r="K37" s="160">
        <f>'DATA Growth'!O30*'DATA Growth'!O71/1000</f>
        <v>483.149725190938</v>
      </c>
      <c r="L37" s="161">
        <f>'DATA Growth'!P30*'DATA Growth'!P71/1000</f>
        <v>530.0635635069781</v>
      </c>
      <c r="M37" s="159">
        <f>'DATA Growth'!Q30*'DATA Growth'!Q71/1000</f>
        <v>581.5327355235056</v>
      </c>
      <c r="N37" s="161">
        <f>'DATA Growth'!R30*'DATA Growth'!R71/1000</f>
        <v>637.999564142838</v>
      </c>
      <c r="O37" s="159">
        <f>'DATA Growth'!S30*'DATA Growth'!S71/1000</f>
        <v>699.9493218211076</v>
      </c>
      <c r="P37" s="160">
        <f>'DATA Growth'!T30*'DATA Growth'!T71/1000</f>
        <v>767.9144009699371</v>
      </c>
      <c r="Q37" s="160">
        <f>'DATA Growth'!U30*'DATA Growth'!U71/1000</f>
        <v>842.4788893041178</v>
      </c>
      <c r="R37" s="160">
        <f>'DATA Growth'!V30*'DATA Growth'!V71/1000</f>
        <v>924.2835894555477</v>
      </c>
      <c r="S37" s="161">
        <f>'DATA Growth'!W30*'DATA Growth'!W71/1000</f>
        <v>1014.0315259916814</v>
      </c>
    </row>
    <row r="38" spans="1:21" ht="15" customHeight="1">
      <c r="A38" s="155" t="s">
        <v>84</v>
      </c>
      <c r="B38" s="159">
        <f>'DATA Growth'!F31*'DATA Growth'!F72/1000</f>
        <v>79.77824074039454</v>
      </c>
      <c r="C38" s="160">
        <f>'DATA Growth'!G31*'DATA Growth'!G72/1000</f>
        <v>82.49070092556796</v>
      </c>
      <c r="D38" s="160">
        <f>'DATA Growth'!H31*'DATA Growth'!H72/1000</f>
        <v>85.29538475703725</v>
      </c>
      <c r="E38" s="160">
        <f>'DATA Growth'!I31*'DATA Growth'!I72/1000</f>
        <v>88.19542783877654</v>
      </c>
      <c r="F38" s="160">
        <f>'DATA Growth'!J31*'DATA Growth'!J72/1000</f>
        <v>91.19407238529494</v>
      </c>
      <c r="G38" s="160">
        <f>'DATA Growth'!K31*'DATA Growth'!K72/1000</f>
        <v>94.04388714733541</v>
      </c>
      <c r="H38" s="160">
        <f>'DATA Growth'!L31*'DATA Growth'!L72/1000</f>
        <v>100</v>
      </c>
      <c r="I38" s="160">
        <f>'DATA Growth'!M31*'DATA Growth'!M72/1000</f>
        <v>101.85000000000001</v>
      </c>
      <c r="J38" s="160">
        <f>'DATA Growth'!N31*'DATA Growth'!N72/1000</f>
        <v>103.73422500000001</v>
      </c>
      <c r="K38" s="160">
        <f>'DATA Growth'!O31*'DATA Growth'!O72/1000</f>
        <v>105.65330816250001</v>
      </c>
      <c r="L38" s="161">
        <f>'DATA Growth'!P31*'DATA Growth'!P72/1000</f>
        <v>107.60789436350626</v>
      </c>
      <c r="M38" s="159">
        <f>'DATA Growth'!Q31*'DATA Growth'!Q72/1000</f>
        <v>109.59864040923112</v>
      </c>
      <c r="N38" s="161">
        <f>'DATA Growth'!R31*'DATA Growth'!R72/1000</f>
        <v>111.62621525680191</v>
      </c>
      <c r="O38" s="159">
        <f>'DATA Growth'!S31*'DATA Growth'!S72/1000</f>
        <v>113.69130023905274</v>
      </c>
      <c r="P38" s="160">
        <f>'DATA Growth'!T31*'DATA Growth'!T72/1000</f>
        <v>115.7945892934752</v>
      </c>
      <c r="Q38" s="160">
        <f>'DATA Growth'!U31*'DATA Growth'!U72/1000</f>
        <v>117.93678919540449</v>
      </c>
      <c r="R38" s="160">
        <f>'DATA Growth'!V31*'DATA Growth'!V72/1000</f>
        <v>120.11861979551949</v>
      </c>
      <c r="S38" s="161">
        <f>'DATA Growth'!W31*'DATA Growth'!W72/1000</f>
        <v>122.3408142617366</v>
      </c>
      <c r="U38" s="143"/>
    </row>
    <row r="39" spans="1:21" ht="15" customHeight="1">
      <c r="A39" s="155" t="s">
        <v>86</v>
      </c>
      <c r="B39" s="159">
        <f>'DATA Growth'!F32*'DATA Growth'!F73/1000</f>
        <v>57.50045926766826</v>
      </c>
      <c r="C39" s="160">
        <f>'DATA Growth'!G32*'DATA Growth'!G73/1000</f>
        <v>50.60040415554807</v>
      </c>
      <c r="D39" s="160">
        <f>'DATA Growth'!H32*'DATA Growth'!H73/1000</f>
        <v>44.5283556568823</v>
      </c>
      <c r="E39" s="160">
        <f>'DATA Growth'!I32*'DATA Growth'!I73/1000</f>
        <v>39.18495297805643</v>
      </c>
      <c r="F39" s="160">
        <f>'DATA Growth'!J32*'DATA Growth'!J73/1000</f>
        <v>34.48275862068966</v>
      </c>
      <c r="G39" s="160">
        <f>'DATA Growth'!K32*'DATA Growth'!K73/1000</f>
        <v>33.58620689655172</v>
      </c>
      <c r="H39" s="160">
        <f>'DATA Growth'!L32*'DATA Growth'!L73/1000</f>
        <v>28.896551724137936</v>
      </c>
      <c r="I39" s="160">
        <f>'DATA Growth'!M32*'DATA Growth'!M73/1000</f>
        <v>24.85103448275862</v>
      </c>
      <c r="J39" s="160">
        <f>'DATA Growth'!N32*'DATA Growth'!N73/1000</f>
        <v>21.371889655172414</v>
      </c>
      <c r="K39" s="160">
        <f>'DATA Growth'!O32*'DATA Growth'!O73/1000</f>
        <v>18.379825103448276</v>
      </c>
      <c r="L39" s="161">
        <f>'DATA Growth'!P32*'DATA Growth'!P73/1000</f>
        <v>15.806649588965517</v>
      </c>
      <c r="M39" s="159">
        <f>'DATA Growth'!Q32*'DATA Growth'!Q73/1000</f>
        <v>13.593718646510343</v>
      </c>
      <c r="N39" s="161">
        <f>'DATA Growth'!R32*'DATA Growth'!R73/1000</f>
        <v>11.690598035998894</v>
      </c>
      <c r="O39" s="159">
        <f>'DATA Growth'!S32*'DATA Growth'!S73/1000</f>
        <v>10.05391431095905</v>
      </c>
      <c r="P39" s="160">
        <f>'DATA Growth'!T32*'DATA Growth'!T73/1000</f>
        <v>8.646366307424781</v>
      </c>
      <c r="Q39" s="160">
        <f>'DATA Growth'!U32*'DATA Growth'!U73/1000</f>
        <v>7.435875024385312</v>
      </c>
      <c r="R39" s="160">
        <f>'DATA Growth'!V32*'DATA Growth'!V73/1000</f>
        <v>6.394852520971368</v>
      </c>
      <c r="S39" s="161">
        <f>'DATA Growth'!W32*'DATA Growth'!W73/1000</f>
        <v>5.499573168035376</v>
      </c>
      <c r="U39" s="143"/>
    </row>
    <row r="40" spans="1:21" ht="15" customHeight="1">
      <c r="A40" s="155" t="s">
        <v>88</v>
      </c>
      <c r="B40" s="159">
        <f>'DATA Growth'!F33*'DATA Growth'!F74/1000</f>
        <v>1.770623891806305</v>
      </c>
      <c r="C40" s="160">
        <f>'DATA Growth'!G33*'DATA Growth'!G74/1000</f>
        <v>2.2867607562678427</v>
      </c>
      <c r="D40" s="160">
        <f>'DATA Growth'!H33*'DATA Growth'!H74/1000</f>
        <v>2.953351516719919</v>
      </c>
      <c r="E40" s="160">
        <f>'DATA Growth'!I33*'DATA Growth'!I74/1000</f>
        <v>3.814253483843775</v>
      </c>
      <c r="F40" s="160">
        <f>'DATA Growth'!J33*'DATA Growth'!J74/1000</f>
        <v>4.926108374384237</v>
      </c>
      <c r="G40" s="160">
        <f>'DATA Growth'!K33*'DATA Growth'!K74/1000</f>
        <v>5.9113300492610845</v>
      </c>
      <c r="H40" s="160">
        <f>'DATA Growth'!L33*'DATA Growth'!L74/1000</f>
        <v>7.241379310344828</v>
      </c>
      <c r="I40" s="160">
        <f>'DATA Growth'!M33*'DATA Growth'!M74/1000</f>
        <v>9.88448275862069</v>
      </c>
      <c r="J40" s="160">
        <f>'DATA Growth'!N33*'DATA Growth'!N74/1000</f>
        <v>13.492318965517242</v>
      </c>
      <c r="K40" s="160">
        <f>'DATA Growth'!O33*'DATA Growth'!O74/1000</f>
        <v>18.417015387931038</v>
      </c>
      <c r="L40" s="161">
        <f>'DATA Growth'!P33*'DATA Growth'!P74/1000</f>
        <v>25.139226004525867</v>
      </c>
      <c r="M40" s="159">
        <f>'DATA Growth'!Q33*'DATA Growth'!Q74/1000</f>
        <v>34.31504349617781</v>
      </c>
      <c r="N40" s="161">
        <f>'DATA Growth'!R33*'DATA Growth'!R74/1000</f>
        <v>46.840034372282716</v>
      </c>
      <c r="O40" s="159">
        <f>'DATA Growth'!S33*'DATA Growth'!S74/1000</f>
        <v>63.93664691816592</v>
      </c>
      <c r="P40" s="160">
        <f>'DATA Growth'!T33*'DATA Growth'!T74/1000</f>
        <v>87.27352304329649</v>
      </c>
      <c r="Q40" s="160">
        <f>'DATA Growth'!U33*'DATA Growth'!U74/1000</f>
        <v>119.12835895409972</v>
      </c>
      <c r="R40" s="160">
        <f>'DATA Growth'!V33*'DATA Growth'!V74/1000</f>
        <v>162.61020997234613</v>
      </c>
      <c r="S40" s="161">
        <f>'DATA Growth'!W33*'DATA Growth'!W74/1000</f>
        <v>221.96293661225246</v>
      </c>
      <c r="U40" s="143"/>
    </row>
    <row r="41" spans="1:21" ht="15" customHeight="1">
      <c r="A41" s="155" t="s">
        <v>90</v>
      </c>
      <c r="B41" s="159">
        <f>'DATA Growth'!F34*'DATA Growth'!F75/1000</f>
        <v>422.22649968022523</v>
      </c>
      <c r="C41" s="160">
        <f>'DATA Growth'!G34*'DATA Growth'!G75/1000</f>
        <v>464.4491496482477</v>
      </c>
      <c r="D41" s="160">
        <f>'DATA Growth'!H34*'DATA Growth'!H75/1000</f>
        <v>510.8940646130726</v>
      </c>
      <c r="E41" s="160">
        <f>'DATA Growth'!I34*'DATA Growth'!I75/1000</f>
        <v>561.98347107438</v>
      </c>
      <c r="F41" s="160">
        <f>'DATA Growth'!J34*'DATA Growth'!J75/1000</f>
        <v>618.181818181818</v>
      </c>
      <c r="G41" s="160">
        <f>'DATA Growth'!K34*'DATA Growth'!K75/1000</f>
        <v>695.4545454545454</v>
      </c>
      <c r="H41" s="160">
        <f>'DATA Growth'!L34*'DATA Growth'!L75/1000</f>
        <v>782</v>
      </c>
      <c r="I41" s="160">
        <f>'DATA Growth'!M34*'DATA Growth'!M75/1000</f>
        <v>844.5600000000002</v>
      </c>
      <c r="J41" s="160">
        <f>'DATA Growth'!N34*'DATA Growth'!N75/1000</f>
        <v>912.1248000000002</v>
      </c>
      <c r="K41" s="160">
        <f>'DATA Growth'!O34*'DATA Growth'!O75/1000</f>
        <v>985.0947840000002</v>
      </c>
      <c r="L41" s="161">
        <f>'DATA Growth'!P34*'DATA Growth'!P75/1000</f>
        <v>1063.9023667200006</v>
      </c>
      <c r="M41" s="159">
        <f>'DATA Growth'!Q34*'DATA Growth'!Q75/1000</f>
        <v>1149.0145560576004</v>
      </c>
      <c r="N41" s="161">
        <f>'DATA Growth'!R34*'DATA Growth'!R75/1000</f>
        <v>1240.9357205422086</v>
      </c>
      <c r="O41" s="159">
        <f>'DATA Growth'!S34*'DATA Growth'!S75/1000</f>
        <v>1340.2105781855855</v>
      </c>
      <c r="P41" s="160">
        <f>'DATA Growth'!T34*'DATA Growth'!T75/1000</f>
        <v>1447.4274244404323</v>
      </c>
      <c r="Q41" s="160">
        <f>'DATA Growth'!U34*'DATA Growth'!U75/1000</f>
        <v>1563.221618395667</v>
      </c>
      <c r="R41" s="160">
        <f>'DATA Growth'!V34*'DATA Growth'!V75/1000</f>
        <v>1688.2793478673204</v>
      </c>
      <c r="S41" s="161">
        <f>'DATA Growth'!W34*'DATA Growth'!W75/1000</f>
        <v>1823.3416956967064</v>
      </c>
      <c r="U41" s="143"/>
    </row>
    <row r="42" spans="1:21" ht="15" customHeight="1">
      <c r="A42" s="155" t="s">
        <v>92</v>
      </c>
      <c r="B42" s="159">
        <f>'DATA Growth'!F35*'DATA Growth'!F76/1000</f>
        <v>29.29957485611239</v>
      </c>
      <c r="C42" s="160">
        <f>'DATA Growth'!G35*'DATA Growth'!G76/1000</f>
        <v>32.815523838845884</v>
      </c>
      <c r="D42" s="160">
        <f>'DATA Growth'!H35*'DATA Growth'!H76/1000</f>
        <v>36.75338669950739</v>
      </c>
      <c r="E42" s="160">
        <f>'DATA Growth'!I35*'DATA Growth'!I76/1000</f>
        <v>41.16379310344828</v>
      </c>
      <c r="F42" s="160">
        <f>'DATA Growth'!J35*'DATA Growth'!J76/1000</f>
        <v>46.10344827586207</v>
      </c>
      <c r="G42" s="160">
        <f>'DATA Growth'!K35*'DATA Growth'!K76/1000</f>
        <v>51.724137931034484</v>
      </c>
      <c r="H42" s="160">
        <f>'DATA Growth'!L35*'DATA Growth'!L76/1000</f>
        <v>57.93103448275863</v>
      </c>
      <c r="I42" s="160">
        <f>'DATA Growth'!M35*'DATA Growth'!M76/1000</f>
        <v>60.24827586206898</v>
      </c>
      <c r="J42" s="160">
        <f>'DATA Growth'!N35*'DATA Growth'!N76/1000</f>
        <v>62.65820689655175</v>
      </c>
      <c r="K42" s="160">
        <f>'DATA Growth'!O35*'DATA Growth'!O76/1000</f>
        <v>65.16453517241382</v>
      </c>
      <c r="L42" s="161">
        <f>'DATA Growth'!P35*'DATA Growth'!P76/1000</f>
        <v>67.77111657931037</v>
      </c>
      <c r="M42" s="159">
        <f>'DATA Growth'!Q35*'DATA Growth'!Q76/1000</f>
        <v>70.4819612424828</v>
      </c>
      <c r="N42" s="161">
        <f>'DATA Growth'!R35*'DATA Growth'!R76/1000</f>
        <v>73.3012396921821</v>
      </c>
      <c r="O42" s="159">
        <f>'DATA Growth'!S35*'DATA Growth'!S76/1000</f>
        <v>76.23328927986938</v>
      </c>
      <c r="P42" s="160">
        <f>'DATA Growth'!T35*'DATA Growth'!T76/1000</f>
        <v>79.28262085106415</v>
      </c>
      <c r="Q42" s="160">
        <f>'DATA Growth'!U35*'DATA Growth'!U76/1000</f>
        <v>82.45392568510674</v>
      </c>
      <c r="R42" s="160">
        <f>'DATA Growth'!V35*'DATA Growth'!V76/1000</f>
        <v>85.75208271251101</v>
      </c>
      <c r="S42" s="161">
        <f>'DATA Growth'!W35*'DATA Growth'!W76/1000</f>
        <v>89.18216602101145</v>
      </c>
      <c r="U42" s="143"/>
    </row>
    <row r="43" spans="1:21" ht="15" customHeight="1">
      <c r="A43" s="155" t="s">
        <v>94</v>
      </c>
      <c r="B43" s="159">
        <f>'DATA Growth'!F36*'DATA Growth'!F77/1000</f>
        <v>15.344205121129932</v>
      </c>
      <c r="C43" s="160">
        <f>'DATA Growth'!G36*'DATA Growth'!G77/1000</f>
        <v>15.497647172341232</v>
      </c>
      <c r="D43" s="160">
        <f>'DATA Growth'!H36*'DATA Growth'!H77/1000</f>
        <v>15.652623644064644</v>
      </c>
      <c r="E43" s="160">
        <f>'DATA Growth'!I36*'DATA Growth'!I77/1000</f>
        <v>15.809149880505291</v>
      </c>
      <c r="F43" s="160">
        <f>'DATA Growth'!J36*'DATA Growth'!J77/1000</f>
        <v>15.967241379310344</v>
      </c>
      <c r="G43" s="160">
        <f>'DATA Growth'!K36*'DATA Growth'!K77/1000</f>
        <v>17.379310344827587</v>
      </c>
      <c r="H43" s="160">
        <f>'DATA Growth'!L36*'DATA Growth'!L77/1000</f>
        <v>15.310344827586206</v>
      </c>
      <c r="I43" s="160">
        <f>'DATA Growth'!M36*'DATA Growth'!M77/1000</f>
        <v>16.075862068965517</v>
      </c>
      <c r="J43" s="160">
        <f>'DATA Growth'!N36*'DATA Growth'!N77/1000</f>
        <v>16.879655172413795</v>
      </c>
      <c r="K43" s="160">
        <f>'DATA Growth'!O36*'DATA Growth'!O77/1000</f>
        <v>17.723637931034485</v>
      </c>
      <c r="L43" s="161">
        <f>'DATA Growth'!P36*'DATA Growth'!P77/1000</f>
        <v>18.609819827586207</v>
      </c>
      <c r="M43" s="159">
        <f>'DATA Growth'!Q36*'DATA Growth'!Q77/1000</f>
        <v>19.540310818965523</v>
      </c>
      <c r="N43" s="161">
        <f>'DATA Growth'!R36*'DATA Growth'!R77/1000</f>
        <v>20.517326359913802</v>
      </c>
      <c r="O43" s="159">
        <f>'DATA Growth'!S36*'DATA Growth'!S77/1000</f>
        <v>21.54319267790949</v>
      </c>
      <c r="P43" s="160">
        <f>'DATA Growth'!T36*'DATA Growth'!T77/1000</f>
        <v>22.620352311804965</v>
      </c>
      <c r="Q43" s="160">
        <f>'DATA Growth'!U36*'DATA Growth'!U77/1000</f>
        <v>23.751369927395213</v>
      </c>
      <c r="R43" s="160">
        <f>'DATA Growth'!V36*'DATA Growth'!V77/1000</f>
        <v>24.93893842376498</v>
      </c>
      <c r="S43" s="161">
        <f>'DATA Growth'!W36*'DATA Growth'!W77/1000</f>
        <v>26.185885344953228</v>
      </c>
      <c r="U43" s="143"/>
    </row>
    <row r="44" spans="1:21" ht="15" customHeight="1">
      <c r="A44" s="155" t="s">
        <v>96</v>
      </c>
      <c r="B44" s="159">
        <f>'DATA Growth'!F37*'DATA Growth'!F78/1000</f>
        <v>28.965517241379313</v>
      </c>
      <c r="C44" s="160">
        <f>'DATA Growth'!G37*'DATA Growth'!G78/1000</f>
        <v>28.965517241379313</v>
      </c>
      <c r="D44" s="160">
        <f>'DATA Growth'!H37*'DATA Growth'!H78/1000</f>
        <v>28.965517241379313</v>
      </c>
      <c r="E44" s="160">
        <f>'DATA Growth'!I37*'DATA Growth'!I78/1000</f>
        <v>28.965517241379313</v>
      </c>
      <c r="F44" s="160">
        <f>'DATA Growth'!J37*'DATA Growth'!J78/1000</f>
        <v>28.965517241379313</v>
      </c>
      <c r="G44" s="160">
        <f>'DATA Growth'!K37*'DATA Growth'!K78/1000</f>
        <v>28.965517241379313</v>
      </c>
      <c r="H44" s="160">
        <f>'DATA Growth'!L37*'DATA Growth'!L78/1000</f>
        <v>28.965517241379313</v>
      </c>
      <c r="I44" s="160">
        <f>'DATA Growth'!M37*'DATA Growth'!M78/1000</f>
        <v>28.965517241379313</v>
      </c>
      <c r="J44" s="160">
        <f>'DATA Growth'!N37*'DATA Growth'!N78/1000</f>
        <v>28.965517241379313</v>
      </c>
      <c r="K44" s="160">
        <f>'DATA Growth'!O37*'DATA Growth'!O78/1000</f>
        <v>28.965517241379313</v>
      </c>
      <c r="L44" s="161">
        <f>'DATA Growth'!P37*'DATA Growth'!P78/1000</f>
        <v>28.965517241379313</v>
      </c>
      <c r="M44" s="159">
        <f>'DATA Growth'!Q37*'DATA Growth'!Q78/1000</f>
        <v>28.965517241379313</v>
      </c>
      <c r="N44" s="161">
        <f>'DATA Growth'!R37*'DATA Growth'!R78/1000</f>
        <v>28.965517241379313</v>
      </c>
      <c r="O44" s="159">
        <f>'DATA Growth'!S37*'DATA Growth'!S78/1000</f>
        <v>28.965517241379313</v>
      </c>
      <c r="P44" s="160">
        <f>'DATA Growth'!T37*'DATA Growth'!T78/1000</f>
        <v>28.965517241379313</v>
      </c>
      <c r="Q44" s="160">
        <f>'DATA Growth'!U37*'DATA Growth'!U78/1000</f>
        <v>28.965517241379313</v>
      </c>
      <c r="R44" s="160">
        <f>'DATA Growth'!V37*'DATA Growth'!V78/1000</f>
        <v>28.965517241379313</v>
      </c>
      <c r="S44" s="161">
        <f>'DATA Growth'!W37*'DATA Growth'!W78/1000</f>
        <v>28.965517241379313</v>
      </c>
      <c r="U44" s="143"/>
    </row>
    <row r="45" spans="1:21" ht="15" customHeight="1">
      <c r="A45" s="155" t="s">
        <v>5</v>
      </c>
      <c r="B45" s="159">
        <f>'DATA Growth'!F38*'DATA Growth'!F79/1000</f>
        <v>0</v>
      </c>
      <c r="C45" s="160">
        <f>'DATA Growth'!G38*'DATA Growth'!G79/1000</f>
        <v>0</v>
      </c>
      <c r="D45" s="160">
        <f>'DATA Growth'!H38*'DATA Growth'!H79/1000</f>
        <v>0</v>
      </c>
      <c r="E45" s="160">
        <f>'DATA Growth'!I38*'DATA Growth'!I79/1000</f>
        <v>0</v>
      </c>
      <c r="F45" s="160">
        <f>'DATA Growth'!J38*'DATA Growth'!J79/1000</f>
        <v>0.3380331204851451</v>
      </c>
      <c r="G45" s="160">
        <f>'DATA Growth'!K38*'DATA Growth'!K79/1000</f>
        <v>0.6828269033799932</v>
      </c>
      <c r="H45" s="160">
        <f>'DATA Growth'!L38*'DATA Growth'!L79/1000</f>
        <v>1.0344827586206897</v>
      </c>
      <c r="I45" s="160">
        <f>'DATA Growth'!M38*'DATA Growth'!M79/1000</f>
        <v>1.8289655172413792</v>
      </c>
      <c r="J45" s="160">
        <f>'DATA Growth'!N38*'DATA Growth'!N79/1000</f>
        <v>3.233611034482759</v>
      </c>
      <c r="K45" s="160">
        <f>'DATA Growth'!O38*'DATA Growth'!O79/1000</f>
        <v>5.7170243089655175</v>
      </c>
      <c r="L45" s="161">
        <f>'DATA Growth'!P38*'DATA Growth'!P79/1000</f>
        <v>10.107698978251035</v>
      </c>
      <c r="M45" s="159">
        <f>'DATA Growth'!Q38*'DATA Growth'!Q79/1000</f>
        <v>17.870411793547827</v>
      </c>
      <c r="N45" s="161">
        <f>'DATA Growth'!R38*'DATA Growth'!R79/1000</f>
        <v>31.594888050992562</v>
      </c>
      <c r="O45" s="159">
        <f>'DATA Growth'!S38*'DATA Growth'!S79/1000</f>
        <v>55.859762074154844</v>
      </c>
      <c r="P45" s="160">
        <f>'DATA Growth'!T38*'DATA Growth'!T79/1000</f>
        <v>98.76005934710578</v>
      </c>
      <c r="Q45" s="160">
        <f>'DATA Growth'!U38*'DATA Growth'!U79/1000</f>
        <v>174.60778492568303</v>
      </c>
      <c r="R45" s="160">
        <f>'DATA Growth'!V38*'DATA Growth'!V79/1000</f>
        <v>308.7065637486076</v>
      </c>
      <c r="S45" s="161">
        <f>'DATA Growth'!W38*'DATA Growth'!W79/1000</f>
        <v>545.7932047075382</v>
      </c>
      <c r="T45" s="143"/>
      <c r="U45" s="341"/>
    </row>
    <row r="46" spans="1:21" ht="15" customHeight="1">
      <c r="A46" s="155" t="s">
        <v>33</v>
      </c>
      <c r="B46" s="159">
        <f>'DATA Growth'!F39*'DATA Growth'!F80/1000</f>
        <v>0</v>
      </c>
      <c r="C46" s="160">
        <f>'DATA Growth'!G39*'DATA Growth'!G80/1000</f>
        <v>0</v>
      </c>
      <c r="D46" s="160">
        <f>'DATA Growth'!H39*'DATA Growth'!H80/1000</f>
        <v>0</v>
      </c>
      <c r="E46" s="160">
        <f>'DATA Growth'!I39*'DATA Growth'!I80/1000</f>
        <v>0</v>
      </c>
      <c r="F46" s="160">
        <f>'DATA Growth'!J39*'DATA Growth'!J80/1000</f>
        <v>20.802116615365616</v>
      </c>
      <c r="G46" s="160">
        <f>'DATA Growth'!K39*'DATA Growth'!K80/1000</f>
        <v>33.47840642785404</v>
      </c>
      <c r="H46" s="160">
        <f>'DATA Growth'!L39*'DATA Growth'!L80/1000</f>
        <v>38.62068965517242</v>
      </c>
      <c r="I46" s="160">
        <f>'DATA Growth'!M39*'DATA Growth'!M80/1000</f>
        <v>50.20689655172414</v>
      </c>
      <c r="J46" s="160">
        <f>'DATA Growth'!N39*'DATA Growth'!N80/1000</f>
        <v>65.26896551724138</v>
      </c>
      <c r="K46" s="160">
        <f>'DATA Growth'!O39*'DATA Growth'!O80/1000</f>
        <v>84.84965517241379</v>
      </c>
      <c r="L46" s="161">
        <f>'DATA Growth'!P39*'DATA Growth'!P80/1000</f>
        <v>110.30455172413794</v>
      </c>
      <c r="M46" s="159">
        <f>'DATA Growth'!Q39*'DATA Growth'!Q80/1000</f>
        <v>143.39591724137935</v>
      </c>
      <c r="N46" s="161">
        <f>'DATA Growth'!R39*'DATA Growth'!R80/1000</f>
        <v>186.41469241379315</v>
      </c>
      <c r="O46" s="159">
        <f>'DATA Growth'!S39*'DATA Growth'!S80/1000</f>
        <v>242.33910013793113</v>
      </c>
      <c r="P46" s="160">
        <f>'DATA Growth'!T39*'DATA Growth'!T80/1000</f>
        <v>315.0408301793105</v>
      </c>
      <c r="Q46" s="160">
        <f>'DATA Growth'!U39*'DATA Growth'!U80/1000</f>
        <v>409.55307923310363</v>
      </c>
      <c r="R46" s="160">
        <f>'DATA Growth'!V39*'DATA Growth'!V80/1000</f>
        <v>532.4190030030347</v>
      </c>
      <c r="S46" s="161">
        <f>'DATA Growth'!W39*'DATA Growth'!W80/1000</f>
        <v>692.1447039039451</v>
      </c>
      <c r="T46" s="143"/>
      <c r="U46" s="341"/>
    </row>
    <row r="47" spans="1:21" ht="15" customHeight="1">
      <c r="A47" s="155" t="s">
        <v>101</v>
      </c>
      <c r="B47" s="159">
        <f>'DATA Growth'!F40*'DATA Growth'!F81/1000</f>
        <v>0</v>
      </c>
      <c r="C47" s="160">
        <f>'DATA Growth'!G40*'DATA Growth'!G81/1000</f>
        <v>6.958601034283633</v>
      </c>
      <c r="D47" s="160">
        <f>'DATA Growth'!H40*'DATA Growth'!H81/1000</f>
        <v>8.266818028728956</v>
      </c>
      <c r="E47" s="160">
        <f>'DATA Growth'!I40*'DATA Growth'!I81/1000</f>
        <v>10.103888701779837</v>
      </c>
      <c r="F47" s="160">
        <f>'DATA Growth'!J40*'DATA Growth'!J81/1000</f>
        <v>11.855229410088345</v>
      </c>
      <c r="G47" s="160">
        <f>'DATA Growth'!K40*'DATA Growth'!K81/1000</f>
        <v>14.26332288401254</v>
      </c>
      <c r="H47" s="160">
        <f>'DATA Growth'!L40*'DATA Growth'!L81/1000</f>
        <v>17.03448275862069</v>
      </c>
      <c r="I47" s="160">
        <f>'DATA Growth'!M40*'DATA Growth'!M81/1000</f>
        <v>21.156827586206898</v>
      </c>
      <c r="J47" s="160">
        <f>'DATA Growth'!N40*'DATA Growth'!N81/1000</f>
        <v>26.276779862068967</v>
      </c>
      <c r="K47" s="160">
        <f>'DATA Growth'!O40*'DATA Growth'!O81/1000</f>
        <v>32.63576058868966</v>
      </c>
      <c r="L47" s="161">
        <f>'DATA Growth'!P40*'DATA Growth'!P81/1000</f>
        <v>40.533614651152554</v>
      </c>
      <c r="M47" s="159">
        <f>'DATA Growth'!Q40*'DATA Growth'!Q81/1000</f>
        <v>50.34274939673146</v>
      </c>
      <c r="N47" s="161">
        <f>'DATA Growth'!R40*'DATA Growth'!R81/1000</f>
        <v>62.52569475074048</v>
      </c>
      <c r="O47" s="159">
        <f>'DATA Growth'!S40*'DATA Growth'!S81/1000</f>
        <v>77.65691288041967</v>
      </c>
      <c r="P47" s="160">
        <f>'DATA Growth'!T40*'DATA Growth'!T81/1000</f>
        <v>96.44988579748123</v>
      </c>
      <c r="Q47" s="160">
        <f>'DATA Growth'!U40*'DATA Growth'!U81/1000</f>
        <v>119.7907581604717</v>
      </c>
      <c r="R47" s="160">
        <f>'DATA Growth'!V40*'DATA Growth'!V81/1000</f>
        <v>148.78012163530585</v>
      </c>
      <c r="S47" s="161">
        <f>'DATA Growth'!W40*'DATA Growth'!W81/1000</f>
        <v>184.78491107104983</v>
      </c>
      <c r="T47" s="143"/>
      <c r="U47" s="341"/>
    </row>
    <row r="48" spans="1:21" ht="15" customHeight="1">
      <c r="A48" s="155" t="s">
        <v>16</v>
      </c>
      <c r="B48" s="159">
        <f>'DATA Growth'!F41*'DATA Growth'!F82/1000</f>
        <v>0</v>
      </c>
      <c r="C48" s="160">
        <f>'DATA Growth'!G41*'DATA Growth'!G82/1000</f>
        <v>0.14872565248002828</v>
      </c>
      <c r="D48" s="160">
        <f>'DATA Growth'!H41*'DATA Growth'!H82/1000</f>
        <v>0.4595622661632874</v>
      </c>
      <c r="E48" s="160">
        <f>'DATA Growth'!I41*'DATA Growth'!I82/1000</f>
        <v>0.7889152235803101</v>
      </c>
      <c r="F48" s="160">
        <f>'DATA Growth'!J41*'DATA Growth'!J82/1000</f>
        <v>1.6251653605754386</v>
      </c>
      <c r="G48" s="160">
        <f>'DATA Growth'!K41*'DATA Growth'!K82/1000</f>
        <v>2.678272514228323</v>
      </c>
      <c r="H48" s="160">
        <f>'DATA Growth'!L41*'DATA Growth'!L82/1000</f>
        <v>4.310344827586207</v>
      </c>
      <c r="I48" s="160">
        <f>'DATA Growth'!M41*'DATA Growth'!M82/1000</f>
        <v>5.993534482758621</v>
      </c>
      <c r="J48" s="160">
        <f>'DATA Growth'!N41*'DATA Growth'!N82/1000</f>
        <v>8.334009698275864</v>
      </c>
      <c r="K48" s="160">
        <f>'DATA Growth'!O41*'DATA Growth'!O82/1000</f>
        <v>11.588440485452589</v>
      </c>
      <c r="L48" s="161">
        <f>'DATA Growth'!P41*'DATA Growth'!P82/1000</f>
        <v>16.113726495021826</v>
      </c>
      <c r="M48" s="159">
        <f>'DATA Growth'!Q41*'DATA Growth'!Q82/1000</f>
        <v>22.406136691327852</v>
      </c>
      <c r="N48" s="161">
        <f>'DATA Growth'!R41*'DATA Growth'!R82/1000</f>
        <v>31.155733069291383</v>
      </c>
      <c r="O48" s="159">
        <f>'DATA Growth'!S41*'DATA Growth'!S82/1000</f>
        <v>43.32204683284967</v>
      </c>
      <c r="P48" s="160">
        <f>'DATA Growth'!T41*'DATA Growth'!T82/1000</f>
        <v>60.23930612107747</v>
      </c>
      <c r="Q48" s="160">
        <f>'DATA Growth'!U41*'DATA Growth'!U82/1000</f>
        <v>83.76275516135821</v>
      </c>
      <c r="R48" s="160">
        <f>'DATA Growth'!V41*'DATA Growth'!V82/1000</f>
        <v>116.47211105186861</v>
      </c>
      <c r="S48" s="161">
        <f>'DATA Growth'!W41*'DATA Growth'!W82/1000</f>
        <v>161.95447041762333</v>
      </c>
      <c r="T48" s="143"/>
      <c r="U48" s="341"/>
    </row>
    <row r="49" spans="1:21" ht="15" customHeight="1">
      <c r="A49" s="272" t="s">
        <v>172</v>
      </c>
      <c r="B49" s="162">
        <f>0.15*(B88+B89+B90)</f>
        <v>40.51548109953704</v>
      </c>
      <c r="C49" s="163">
        <f aca="true" t="shared" si="7" ref="C49:N49">0.15*(C88+C89+C90)</f>
        <v>38.49362291666666</v>
      </c>
      <c r="D49" s="163">
        <f t="shared" si="7"/>
        <v>43.130788321720985</v>
      </c>
      <c r="E49" s="163">
        <f t="shared" si="7"/>
        <v>41.782147499999994</v>
      </c>
      <c r="F49" s="163">
        <f t="shared" si="7"/>
        <v>43.548458333333336</v>
      </c>
      <c r="G49" s="163">
        <f t="shared" si="7"/>
        <v>48.48806</v>
      </c>
      <c r="H49" s="364">
        <f t="shared" si="7"/>
        <v>52.402129949999996</v>
      </c>
      <c r="I49" s="163">
        <f t="shared" si="7"/>
        <v>57.23807847884999</v>
      </c>
      <c r="J49" s="163">
        <f t="shared" si="7"/>
        <v>62.96942198666565</v>
      </c>
      <c r="K49" s="163">
        <f t="shared" si="7"/>
        <v>69.72121800329998</v>
      </c>
      <c r="L49" s="164">
        <f t="shared" si="7"/>
        <v>77.63953072251157</v>
      </c>
      <c r="M49" s="162">
        <f t="shared" si="7"/>
        <v>86.89468872970967</v>
      </c>
      <c r="N49" s="164">
        <f t="shared" si="7"/>
        <v>97.68507092302242</v>
      </c>
      <c r="O49" s="162">
        <f aca="true" t="shared" si="8" ref="O49:S49">0.15*(O88+O89+O90)</f>
        <v>109.14264125700853</v>
      </c>
      <c r="P49" s="163">
        <f t="shared" si="8"/>
        <v>122.09285013117446</v>
      </c>
      <c r="Q49" s="163">
        <f t="shared" si="8"/>
        <v>136.72597112926127</v>
      </c>
      <c r="R49" s="163">
        <f t="shared" si="8"/>
        <v>153.25678233898748</v>
      </c>
      <c r="S49" s="164">
        <f t="shared" si="8"/>
        <v>171.92772676791498</v>
      </c>
      <c r="T49" s="377"/>
      <c r="U49" s="377"/>
    </row>
    <row r="50" spans="1:21" ht="15" customHeight="1">
      <c r="A50" s="178" t="s">
        <v>327</v>
      </c>
      <c r="B50" s="219">
        <f>0.15*B93</f>
        <v>30.843995098825012</v>
      </c>
      <c r="C50" s="220">
        <f aca="true" t="shared" si="9" ref="C50:N50">0.15*C93</f>
        <v>32.430350515422916</v>
      </c>
      <c r="D50" s="220">
        <f t="shared" si="9"/>
        <v>37.010141282400454</v>
      </c>
      <c r="E50" s="220">
        <f t="shared" si="9"/>
        <v>43.55122440833959</v>
      </c>
      <c r="F50" s="220">
        <f t="shared" si="9"/>
        <v>48.959833748708675</v>
      </c>
      <c r="G50" s="220">
        <f t="shared" si="9"/>
        <v>52.124065365886366</v>
      </c>
      <c r="H50" s="365">
        <f t="shared" si="9"/>
        <v>52.55049473079071</v>
      </c>
      <c r="I50" s="220">
        <f t="shared" si="9"/>
        <v>54.862716498945495</v>
      </c>
      <c r="J50" s="220">
        <f t="shared" si="9"/>
        <v>57.276676024899096</v>
      </c>
      <c r="K50" s="220">
        <f t="shared" si="9"/>
        <v>59.79684976999465</v>
      </c>
      <c r="L50" s="222">
        <f t="shared" si="9"/>
        <v>62.42791115987442</v>
      </c>
      <c r="M50" s="219">
        <f t="shared" si="9"/>
        <v>65.17473925090889</v>
      </c>
      <c r="N50" s="222">
        <f t="shared" si="9"/>
        <v>68.04242777794887</v>
      </c>
      <c r="O50" s="219">
        <f aca="true" t="shared" si="10" ref="O50:S50">0.15*O93</f>
        <v>71.03629460017862</v>
      </c>
      <c r="P50" s="220">
        <f t="shared" si="10"/>
        <v>74.16189156258646</v>
      </c>
      <c r="Q50" s="220">
        <f t="shared" si="10"/>
        <v>77.42501479134027</v>
      </c>
      <c r="R50" s="220">
        <f t="shared" si="10"/>
        <v>80.83171544215924</v>
      </c>
      <c r="S50" s="222">
        <f t="shared" si="10"/>
        <v>84.38831092161423</v>
      </c>
      <c r="T50" s="377"/>
      <c r="U50" s="377"/>
    </row>
    <row r="51" spans="1:21" ht="15" customHeight="1">
      <c r="A51" s="378" t="s">
        <v>328</v>
      </c>
      <c r="B51" s="379">
        <f>SUM(B32:B50)</f>
        <v>1553.6329005772363</v>
      </c>
      <c r="C51" s="380">
        <f>SUM(C32:C50)</f>
        <v>1627.248964787018</v>
      </c>
      <c r="D51" s="380">
        <f>SUM(D32:D50)</f>
        <v>1717.9783341224565</v>
      </c>
      <c r="E51" s="380">
        <f>SUM(E32:E50)</f>
        <v>1819.7281109550383</v>
      </c>
      <c r="F51" s="380">
        <f>SUM(F32:F50)</f>
        <v>1961.3614665469618</v>
      </c>
      <c r="G51" s="380">
        <f aca="true" t="shared" si="11" ref="G51:H51">SUM(G32:G50)</f>
        <v>2103.132272211158</v>
      </c>
      <c r="H51" s="381">
        <f t="shared" si="11"/>
        <v>2250.037322956653</v>
      </c>
      <c r="I51" s="380">
        <f>SUM(I32:I50)</f>
        <v>2349.1942303226233</v>
      </c>
      <c r="J51" s="380">
        <f aca="true" t="shared" si="12" ref="J51:K51">SUM(J32:J50)</f>
        <v>2501.7331281891516</v>
      </c>
      <c r="K51" s="380">
        <f t="shared" si="12"/>
        <v>2674.867629955852</v>
      </c>
      <c r="L51" s="370">
        <f>SUM(L32:L50)</f>
        <v>2872.830587235016</v>
      </c>
      <c r="M51" s="379">
        <f>SUM(M32:M50)</f>
        <v>3101.390918224783</v>
      </c>
      <c r="N51" s="370">
        <f>SUM(N32:N50)</f>
        <v>3368.6090538488565</v>
      </c>
      <c r="O51" s="379">
        <f aca="true" t="shared" si="13" ref="O51:S51">SUM(O32:O50)</f>
        <v>3684.9556521449595</v>
      </c>
      <c r="P51" s="380">
        <f t="shared" si="13"/>
        <v>4068.0632884943416</v>
      </c>
      <c r="Q51" s="380">
        <f t="shared" si="13"/>
        <v>4543.716544044385</v>
      </c>
      <c r="R51" s="380">
        <f t="shared" si="13"/>
        <v>5152.110472482047</v>
      </c>
      <c r="S51" s="370">
        <f t="shared" si="13"/>
        <v>5957.395603750965</v>
      </c>
      <c r="T51" s="377"/>
      <c r="U51" s="377"/>
    </row>
    <row r="52" spans="1:21" ht="15" customHeight="1">
      <c r="A52" s="374"/>
      <c r="B52" s="375"/>
      <c r="C52" s="375"/>
      <c r="D52" s="382"/>
      <c r="E52" s="375"/>
      <c r="F52" s="375"/>
      <c r="G52" s="375"/>
      <c r="H52" s="376"/>
      <c r="I52" s="375"/>
      <c r="J52" s="375"/>
      <c r="K52" s="375"/>
      <c r="L52" s="375"/>
      <c r="M52" s="375"/>
      <c r="N52" s="375"/>
      <c r="O52" s="377"/>
      <c r="Q52" s="377"/>
      <c r="R52" s="371"/>
      <c r="S52" s="236"/>
      <c r="T52" s="377"/>
      <c r="U52" s="377"/>
    </row>
    <row r="53" spans="1:21" ht="15" customHeight="1">
      <c r="A53" s="371"/>
      <c r="B53" s="371"/>
      <c r="C53" s="371"/>
      <c r="D53" s="374"/>
      <c r="E53" s="374"/>
      <c r="F53" s="374"/>
      <c r="G53" s="374"/>
      <c r="H53" s="383"/>
      <c r="I53" s="371"/>
      <c r="J53" s="371"/>
      <c r="K53" s="371"/>
      <c r="L53" s="371"/>
      <c r="M53" s="371"/>
      <c r="N53" s="374"/>
      <c r="O53" s="377"/>
      <c r="P53" s="371"/>
      <c r="Q53" s="377"/>
      <c r="R53" s="371"/>
      <c r="S53" s="236"/>
      <c r="T53" s="377"/>
      <c r="U53" s="377"/>
    </row>
    <row r="54" spans="1:18" s="143" customFormat="1" ht="15" customHeight="1">
      <c r="A54" s="371"/>
      <c r="B54" s="371"/>
      <c r="C54" s="371"/>
      <c r="D54" s="371"/>
      <c r="E54" s="371"/>
      <c r="F54" s="371"/>
      <c r="G54" s="371"/>
      <c r="H54" s="384"/>
      <c r="I54" s="371"/>
      <c r="J54" s="371"/>
      <c r="K54" s="371"/>
      <c r="L54" s="371"/>
      <c r="M54" s="371"/>
      <c r="N54" s="371"/>
      <c r="O54" s="374"/>
      <c r="P54" s="374"/>
      <c r="Q54" s="385"/>
      <c r="R54" s="374"/>
    </row>
    <row r="55" spans="1:18" s="143" customFormat="1" ht="15" customHeight="1">
      <c r="A55" s="371"/>
      <c r="B55" s="371"/>
      <c r="C55" s="371"/>
      <c r="D55" s="371"/>
      <c r="E55" s="371"/>
      <c r="F55" s="371"/>
      <c r="G55" s="371"/>
      <c r="H55" s="384"/>
      <c r="I55" s="371"/>
      <c r="J55" s="371"/>
      <c r="K55" s="371"/>
      <c r="L55" s="371"/>
      <c r="M55" s="371"/>
      <c r="N55" s="371"/>
      <c r="O55" s="374"/>
      <c r="P55" s="374"/>
      <c r="Q55" s="385"/>
      <c r="R55" s="374"/>
    </row>
    <row r="56" spans="1:19" s="143" customFormat="1" ht="30" customHeight="1">
      <c r="A56" s="151" t="s">
        <v>330</v>
      </c>
      <c r="B56" s="153">
        <v>2013</v>
      </c>
      <c r="C56" s="152">
        <v>2014</v>
      </c>
      <c r="D56" s="152">
        <v>2015</v>
      </c>
      <c r="E56" s="152">
        <v>2016</v>
      </c>
      <c r="F56" s="152">
        <v>2017</v>
      </c>
      <c r="G56" s="152">
        <v>2018</v>
      </c>
      <c r="H56" s="386">
        <v>2019</v>
      </c>
      <c r="I56" s="152">
        <v>2020</v>
      </c>
      <c r="J56" s="152">
        <v>2021</v>
      </c>
      <c r="K56" s="152">
        <v>2022</v>
      </c>
      <c r="L56" s="154">
        <v>2023</v>
      </c>
      <c r="M56" s="153">
        <v>2024</v>
      </c>
      <c r="N56" s="154">
        <v>2025</v>
      </c>
      <c r="O56" s="153">
        <v>2026</v>
      </c>
      <c r="P56" s="152">
        <v>2027</v>
      </c>
      <c r="Q56" s="152">
        <v>2028</v>
      </c>
      <c r="R56" s="152">
        <v>2029</v>
      </c>
      <c r="S56" s="154">
        <v>2030</v>
      </c>
    </row>
    <row r="57" spans="1:19" ht="15" customHeight="1">
      <c r="A57" s="155" t="s">
        <v>74</v>
      </c>
      <c r="B57" s="159">
        <f>'DATA Growth'!F105*'DATA Growth'!F85/1000</f>
        <v>82.58831416080828</v>
      </c>
      <c r="C57" s="160">
        <f>'DATA Growth'!G105*'DATA Growth'!G85/1000</f>
        <v>78.45889845276785</v>
      </c>
      <c r="D57" s="160">
        <f>'DATA Growth'!H105*'DATA Growth'!H85/1000</f>
        <v>74.53595353012946</v>
      </c>
      <c r="E57" s="160">
        <f>'DATA Growth'!I105*'DATA Growth'!I85/1000</f>
        <v>70.80915585362298</v>
      </c>
      <c r="F57" s="160">
        <f>'DATA Growth'!J105*'DATA Growth'!J85/1000</f>
        <v>67.26869806094184</v>
      </c>
      <c r="G57" s="160">
        <f>'DATA Growth'!K105*'DATA Growth'!K85/1000</f>
        <v>63.90526315789474</v>
      </c>
      <c r="H57" s="160">
        <f>'DATA Growth'!L105*'DATA Growth'!L85/1000</f>
        <v>60.71</v>
      </c>
      <c r="I57" s="160">
        <f>'DATA Growth'!M105*'DATA Growth'!M85/1000</f>
        <v>60.1029</v>
      </c>
      <c r="J57" s="160">
        <f>'DATA Growth'!N105*'DATA Growth'!N85/1000</f>
        <v>59.501870999999994</v>
      </c>
      <c r="K57" s="160">
        <f>'DATA Growth'!O105*'DATA Growth'!O85/1000</f>
        <v>58.906852289999996</v>
      </c>
      <c r="L57" s="161">
        <f>'DATA Growth'!P105*'DATA Growth'!P85/1000</f>
        <v>58.31778376709999</v>
      </c>
      <c r="M57" s="159">
        <f>'DATA Growth'!Q105*'DATA Growth'!Q85/1000</f>
        <v>57.73460592942899</v>
      </c>
      <c r="N57" s="161">
        <f>'DATA Growth'!R105*'DATA Growth'!R85/1000</f>
        <v>57.157259870134695</v>
      </c>
      <c r="O57" s="159">
        <f>'DATA Growth'!S105*'DATA Growth'!S85/1000</f>
        <v>56.58568727143335</v>
      </c>
      <c r="P57" s="160">
        <f>'DATA Growth'!T105*'DATA Growth'!T85/1000</f>
        <v>56.019830398719016</v>
      </c>
      <c r="Q57" s="160">
        <f>'DATA Growth'!U105*'DATA Growth'!U85/1000</f>
        <v>55.45963209473182</v>
      </c>
      <c r="R57" s="160">
        <f>'DATA Growth'!V105*'DATA Growth'!V85/1000</f>
        <v>54.905035773784505</v>
      </c>
      <c r="S57" s="161">
        <f>'DATA Growth'!W105*'DATA Growth'!W85/1000</f>
        <v>54.35598541604666</v>
      </c>
    </row>
    <row r="58" spans="1:19" ht="15" customHeight="1">
      <c r="A58" s="155" t="s">
        <v>76</v>
      </c>
      <c r="B58" s="159">
        <f>'DATA Growth'!F106*'DATA Growth'!F86/1000</f>
        <v>42.711697090866366</v>
      </c>
      <c r="C58" s="160">
        <f>'DATA Growth'!G106*'DATA Growth'!G86/1000</f>
        <v>43.99304800359236</v>
      </c>
      <c r="D58" s="160">
        <f>'DATA Growth'!H106*'DATA Growth'!H86/1000</f>
        <v>45.31283944370013</v>
      </c>
      <c r="E58" s="160">
        <f>'DATA Growth'!I106*'DATA Growth'!I86/1000</f>
        <v>46.672224627011126</v>
      </c>
      <c r="F58" s="160">
        <f>'DATA Growth'!J106*'DATA Growth'!J86/1000</f>
        <v>48.07239136582147</v>
      </c>
      <c r="G58" s="160">
        <f>'DATA Growth'!K106*'DATA Growth'!K86/1000</f>
        <v>49.51456310679612</v>
      </c>
      <c r="H58" s="160">
        <f>'DATA Growth'!L106*'DATA Growth'!L86/1000</f>
        <v>51</v>
      </c>
      <c r="I58" s="160">
        <f>'DATA Growth'!M106*'DATA Growth'!M86/1000</f>
        <v>59.5</v>
      </c>
      <c r="J58" s="160">
        <f>'DATA Growth'!N106*'DATA Growth'!N86/1000</f>
        <v>59.5</v>
      </c>
      <c r="K58" s="160">
        <f>'DATA Growth'!O106*'DATA Growth'!O86/1000</f>
        <v>61.28500000000001</v>
      </c>
      <c r="L58" s="161">
        <f>'DATA Growth'!P106*'DATA Growth'!P86/1000</f>
        <v>63.12355</v>
      </c>
      <c r="M58" s="159">
        <f>'DATA Growth'!Q106*'DATA Growth'!Q86/1000</f>
        <v>65.0172565</v>
      </c>
      <c r="N58" s="161">
        <f>'DATA Growth'!R106*'DATA Growth'!R86/1000</f>
        <v>66.967774195</v>
      </c>
      <c r="O58" s="159">
        <f>'DATA Growth'!S106*'DATA Growth'!S86/1000</f>
        <v>68.97680742085001</v>
      </c>
      <c r="P58" s="160">
        <f>'DATA Growth'!T106*'DATA Growth'!T86/1000</f>
        <v>71.04611164347551</v>
      </c>
      <c r="Q58" s="160">
        <f>'DATA Growth'!U106*'DATA Growth'!U86/1000</f>
        <v>73.17749499277978</v>
      </c>
      <c r="R58" s="160">
        <f>'DATA Growth'!V106*'DATA Growth'!V86/1000</f>
        <v>75.37281984256319</v>
      </c>
      <c r="S58" s="161">
        <f>'DATA Growth'!W106*'DATA Growth'!W86/1000</f>
        <v>77.63400443784008</v>
      </c>
    </row>
    <row r="59" spans="1:19" ht="15" customHeight="1">
      <c r="A59" s="155" t="s">
        <v>78</v>
      </c>
      <c r="B59" s="159">
        <f>'DATA Growth'!F107*'DATA Growth'!F87/1000</f>
        <v>49.547513061936534</v>
      </c>
      <c r="C59" s="160">
        <f>'DATA Growth'!G107*'DATA Growth'!G87/1000</f>
        <v>49.052037931317166</v>
      </c>
      <c r="D59" s="160">
        <f>'DATA Growth'!H107*'DATA Growth'!H87/1000</f>
        <v>48.56151755200399</v>
      </c>
      <c r="E59" s="160">
        <f>'DATA Growth'!I107*'DATA Growth'!I87/1000</f>
        <v>48.07590237648395</v>
      </c>
      <c r="F59" s="160">
        <f>'DATA Growth'!J107*'DATA Growth'!J87/1000</f>
        <v>47.59514335271911</v>
      </c>
      <c r="G59" s="160">
        <f>'DATA Growth'!K107*'DATA Growth'!K87/1000</f>
        <v>47.11919191919192</v>
      </c>
      <c r="H59" s="160">
        <f>'DATA Growth'!L107*'DATA Growth'!L87/1000</f>
        <v>46.648</v>
      </c>
      <c r="I59" s="160">
        <f>'DATA Growth'!M107*'DATA Growth'!M87/1000</f>
        <v>47.11448</v>
      </c>
      <c r="J59" s="160">
        <f>'DATA Growth'!N107*'DATA Growth'!N87/1000</f>
        <v>47.585624800000005</v>
      </c>
      <c r="K59" s="160">
        <f>'DATA Growth'!O107*'DATA Growth'!O87/1000</f>
        <v>48.061481048000005</v>
      </c>
      <c r="L59" s="161">
        <f>'DATA Growth'!P107*'DATA Growth'!P87/1000</f>
        <v>48.54209585848001</v>
      </c>
      <c r="M59" s="159">
        <f>'DATA Growth'!Q107*'DATA Growth'!Q87/1000</f>
        <v>49.0275168170648</v>
      </c>
      <c r="N59" s="161">
        <f>'DATA Growth'!R107*'DATA Growth'!R87/1000</f>
        <v>49.517791985235455</v>
      </c>
      <c r="O59" s="159">
        <f>'DATA Growth'!S107*'DATA Growth'!S87/1000</f>
        <v>50.012969905087814</v>
      </c>
      <c r="P59" s="160">
        <f>'DATA Growth'!T107*'DATA Growth'!T87/1000</f>
        <v>50.51309960413869</v>
      </c>
      <c r="Q59" s="160">
        <f>'DATA Growth'!U107*'DATA Growth'!U87/1000</f>
        <v>51.018230600180075</v>
      </c>
      <c r="R59" s="160">
        <f>'DATA Growth'!V107*'DATA Growth'!V87/1000</f>
        <v>51.52841290618188</v>
      </c>
      <c r="S59" s="161">
        <f>'DATA Growth'!W107*'DATA Growth'!W87/1000</f>
        <v>52.04369703524369</v>
      </c>
    </row>
    <row r="60" spans="1:19" ht="15" customHeight="1">
      <c r="A60" s="155" t="s">
        <v>79</v>
      </c>
      <c r="B60" s="159">
        <f>'DATA Growth'!F108*'DATA Growth'!F88/1000</f>
        <v>36.268741557286965</v>
      </c>
      <c r="C60" s="160">
        <f>'DATA Growth'!G108*'DATA Growth'!G88/1000</f>
        <v>36.63142897285984</v>
      </c>
      <c r="D60" s="160">
        <f>'DATA Growth'!H108*'DATA Growth'!H88/1000</f>
        <v>36.99774326258843</v>
      </c>
      <c r="E60" s="160">
        <f>'DATA Growth'!I108*'DATA Growth'!I88/1000</f>
        <v>37.36772069521431</v>
      </c>
      <c r="F60" s="160">
        <f>'DATA Growth'!J108*'DATA Growth'!J88/1000</f>
        <v>37.741397902166455</v>
      </c>
      <c r="G60" s="160">
        <f>'DATA Growth'!K108*'DATA Growth'!K88/1000</f>
        <v>38.11881188118812</v>
      </c>
      <c r="H60" s="160">
        <f>'DATA Growth'!L108*'DATA Growth'!L88/1000</f>
        <v>38.5</v>
      </c>
      <c r="I60" s="160">
        <f>'DATA Growth'!M108*'DATA Growth'!M88/1000</f>
        <v>38.885</v>
      </c>
      <c r="J60" s="160">
        <f>'DATA Growth'!N108*'DATA Growth'!N88/1000</f>
        <v>39.27385</v>
      </c>
      <c r="K60" s="160">
        <f>'DATA Growth'!O108*'DATA Growth'!O88/1000</f>
        <v>39.6665885</v>
      </c>
      <c r="L60" s="161">
        <f>'DATA Growth'!P108*'DATA Growth'!P88/1000</f>
        <v>40.06325438500001</v>
      </c>
      <c r="M60" s="159">
        <f>'DATA Growth'!Q108*'DATA Growth'!Q88/1000</f>
        <v>40.463886928850016</v>
      </c>
      <c r="N60" s="161">
        <f>'DATA Growth'!R108*'DATA Growth'!R88/1000</f>
        <v>40.86852579813851</v>
      </c>
      <c r="O60" s="159">
        <f>'DATA Growth'!S108*'DATA Growth'!S88/1000</f>
        <v>41.2772110561199</v>
      </c>
      <c r="P60" s="160">
        <f>'DATA Growth'!T108*'DATA Growth'!T88/1000</f>
        <v>41.6899831666811</v>
      </c>
      <c r="Q60" s="160">
        <f>'DATA Growth'!U108*'DATA Growth'!U88/1000</f>
        <v>42.106882998347906</v>
      </c>
      <c r="R60" s="160">
        <f>'DATA Growth'!V108*'DATA Growth'!V88/1000</f>
        <v>42.52795182833139</v>
      </c>
      <c r="S60" s="161">
        <f>'DATA Growth'!W108*'DATA Growth'!W88/1000</f>
        <v>42.95323134661471</v>
      </c>
    </row>
    <row r="61" spans="1:19" ht="15" customHeight="1">
      <c r="A61" s="155" t="s">
        <v>81</v>
      </c>
      <c r="B61" s="159">
        <f>'DATA Growth'!F109*'DATA Growth'!F89/1000</f>
        <v>105.30875973176784</v>
      </c>
      <c r="C61" s="160">
        <f>'DATA Growth'!G109*'DATA Growth'!G89/1000</f>
        <v>112.36444663379626</v>
      </c>
      <c r="D61" s="160">
        <f>'DATA Growth'!H109*'DATA Growth'!H89/1000</f>
        <v>119.89286455826063</v>
      </c>
      <c r="E61" s="160">
        <f>'DATA Growth'!I109*'DATA Growth'!I89/1000</f>
        <v>127.9256864836641</v>
      </c>
      <c r="F61" s="160">
        <f>'DATA Growth'!J109*'DATA Growth'!J89/1000</f>
        <v>136.4967074780696</v>
      </c>
      <c r="G61" s="160">
        <f>'DATA Growth'!K109*'DATA Growth'!K89/1000</f>
        <v>145.64198687910027</v>
      </c>
      <c r="H61" s="160">
        <f>'DATA Growth'!L109*'DATA Growth'!L89/1000</f>
        <v>155.4</v>
      </c>
      <c r="I61" s="160">
        <f>'DATA Growth'!M109*'DATA Growth'!M89/1000</f>
        <v>153.75275999999997</v>
      </c>
      <c r="J61" s="160">
        <f>'DATA Growth'!N109*'DATA Growth'!N89/1000</f>
        <v>152.12298074399996</v>
      </c>
      <c r="K61" s="160">
        <f>'DATA Growth'!O109*'DATA Growth'!O89/1000</f>
        <v>150.51047714811358</v>
      </c>
      <c r="L61" s="161">
        <f>'DATA Growth'!P109*'DATA Growth'!P89/1000</f>
        <v>148.91506609034357</v>
      </c>
      <c r="M61" s="159">
        <f>'DATA Growth'!Q109*'DATA Growth'!Q89/1000</f>
        <v>147.33656638978596</v>
      </c>
      <c r="N61" s="161">
        <f>'DATA Growth'!R109*'DATA Growth'!R89/1000</f>
        <v>145.77479878605422</v>
      </c>
      <c r="O61" s="159">
        <f>'DATA Growth'!S109*'DATA Growth'!S89/1000</f>
        <v>144.22958591892206</v>
      </c>
      <c r="P61" s="160">
        <f>'DATA Growth'!T109*'DATA Growth'!T89/1000</f>
        <v>142.70075230818148</v>
      </c>
      <c r="Q61" s="160">
        <f>'DATA Growth'!U109*'DATA Growth'!U89/1000</f>
        <v>141.18812433371474</v>
      </c>
      <c r="R61" s="160">
        <f>'DATA Growth'!V109*'DATA Growth'!V89/1000</f>
        <v>139.69153021577736</v>
      </c>
      <c r="S61" s="161">
        <f>'DATA Growth'!W109*'DATA Growth'!W89/1000</f>
        <v>138.2107999954901</v>
      </c>
    </row>
    <row r="62" spans="1:19" ht="15" customHeight="1">
      <c r="A62" s="155" t="s">
        <v>30</v>
      </c>
      <c r="B62" s="159">
        <f>'DATA Growth'!F110*'DATA Growth'!F90/1000</f>
        <v>7.221267288111202</v>
      </c>
      <c r="C62" s="160">
        <f>'DATA Growth'!G110*'DATA Growth'!G90/1000</f>
        <v>8.65829947844533</v>
      </c>
      <c r="D62" s="160">
        <f>'DATA Growth'!H110*'DATA Growth'!H90/1000</f>
        <v>10.381301074655953</v>
      </c>
      <c r="E62" s="160">
        <f>'DATA Growth'!I110*'DATA Growth'!I90/1000</f>
        <v>12.447179988512492</v>
      </c>
      <c r="F62" s="160">
        <f>'DATA Growth'!J110*'DATA Growth'!J90/1000</f>
        <v>14.924168806226481</v>
      </c>
      <c r="G62" s="160">
        <f>'DATA Growth'!K110*'DATA Growth'!K90/1000</f>
        <v>17.894078398665552</v>
      </c>
      <c r="H62" s="160">
        <f>'DATA Growth'!L110*'DATA Growth'!L90/1000</f>
        <v>21.455</v>
      </c>
      <c r="I62" s="160">
        <f>'DATA Growth'!M110*'DATA Growth'!M90/1000</f>
        <v>24.563829500000004</v>
      </c>
      <c r="J62" s="160">
        <f>'DATA Growth'!N110*'DATA Growth'!N90/1000</f>
        <v>28.123128394550008</v>
      </c>
      <c r="K62" s="160">
        <f>'DATA Growth'!O110*'DATA Growth'!O90/1000</f>
        <v>32.19816969892031</v>
      </c>
      <c r="L62" s="161">
        <f>'DATA Growth'!P110*'DATA Growth'!P90/1000</f>
        <v>36.86368448829387</v>
      </c>
      <c r="M62" s="159">
        <f>'DATA Growth'!Q110*'DATA Growth'!Q90/1000</f>
        <v>42.20523237064765</v>
      </c>
      <c r="N62" s="161">
        <f>'DATA Growth'!R110*'DATA Growth'!R90/1000</f>
        <v>48.3207705411545</v>
      </c>
      <c r="O62" s="159">
        <f>'DATA Growth'!S110*'DATA Growth'!S90/1000</f>
        <v>55.3224501925678</v>
      </c>
      <c r="P62" s="160">
        <f>'DATA Growth'!T110*'DATA Growth'!T90/1000</f>
        <v>63.338673225470885</v>
      </c>
      <c r="Q62" s="160">
        <f>'DATA Growth'!U110*'DATA Growth'!U90/1000</f>
        <v>72.51644697584162</v>
      </c>
      <c r="R62" s="160">
        <f>'DATA Growth'!V110*'DATA Growth'!V90/1000</f>
        <v>83.0240801426411</v>
      </c>
      <c r="S62" s="161">
        <f>'DATA Growth'!W110*'DATA Growth'!W90/1000</f>
        <v>95.0542693553098</v>
      </c>
    </row>
    <row r="63" spans="1:19" ht="15" customHeight="1">
      <c r="A63" s="155" t="s">
        <v>84</v>
      </c>
      <c r="B63" s="159">
        <f>'DATA Growth'!F111*'DATA Growth'!F91/1000</f>
        <v>4.301291347009782</v>
      </c>
      <c r="C63" s="160">
        <f>'DATA Growth'!G111*'DATA Growth'!G91/1000</f>
        <v>4.73142048171076</v>
      </c>
      <c r="D63" s="160">
        <f>'DATA Growth'!H111*'DATA Growth'!H91/1000</f>
        <v>5.204562529881837</v>
      </c>
      <c r="E63" s="160">
        <f>'DATA Growth'!I111*'DATA Growth'!I91/1000</f>
        <v>5.725018782870021</v>
      </c>
      <c r="F63" s="160">
        <f>'DATA Growth'!J111*'DATA Growth'!J91/1000</f>
        <v>6.297520661157024</v>
      </c>
      <c r="G63" s="160">
        <f>'DATA Growth'!K111*'DATA Growth'!K91/1000</f>
        <v>6.927272727272727</v>
      </c>
      <c r="H63" s="160">
        <f>'DATA Growth'!L111*'DATA Growth'!L91/1000</f>
        <v>7.62</v>
      </c>
      <c r="I63" s="160">
        <f>'DATA Growth'!M111*'DATA Growth'!M91/1000</f>
        <v>8.305800000000001</v>
      </c>
      <c r="J63" s="160">
        <f>'DATA Growth'!N111*'DATA Growth'!N91/1000</f>
        <v>9.053322000000001</v>
      </c>
      <c r="K63" s="160">
        <f>'DATA Growth'!O111*'DATA Growth'!O91/1000</f>
        <v>9.868120980000004</v>
      </c>
      <c r="L63" s="161">
        <f>'DATA Growth'!P111*'DATA Growth'!P91/1000</f>
        <v>10.756251868200005</v>
      </c>
      <c r="M63" s="159">
        <f>'DATA Growth'!Q111*'DATA Growth'!Q91/1000</f>
        <v>11.724314536338007</v>
      </c>
      <c r="N63" s="161">
        <f>'DATA Growth'!R111*'DATA Growth'!R91/1000</f>
        <v>12.779502844608425</v>
      </c>
      <c r="O63" s="159">
        <f>'DATA Growth'!S111*'DATA Growth'!S91/1000</f>
        <v>13.929658100623184</v>
      </c>
      <c r="P63" s="160">
        <f>'DATA Growth'!T111*'DATA Growth'!T91/1000</f>
        <v>15.183327329679273</v>
      </c>
      <c r="Q63" s="160">
        <f>'DATA Growth'!U111*'DATA Growth'!U91/1000</f>
        <v>16.54982678935041</v>
      </c>
      <c r="R63" s="160">
        <f>'DATA Growth'!V111*'DATA Growth'!V91/1000</f>
        <v>18.039311200391946</v>
      </c>
      <c r="S63" s="161">
        <f>'DATA Growth'!W111*'DATA Growth'!W91/1000</f>
        <v>19.66284920842722</v>
      </c>
    </row>
    <row r="64" spans="1:19" ht="15" customHeight="1">
      <c r="A64" s="155" t="s">
        <v>86</v>
      </c>
      <c r="B64" s="159">
        <f>'DATA Growth'!F112*'DATA Growth'!F92/1000</f>
        <v>5.732474550357578</v>
      </c>
      <c r="C64" s="160">
        <f>'DATA Growth'!G112*'DATA Growth'!G92/1000</f>
        <v>4.872603367803941</v>
      </c>
      <c r="D64" s="160">
        <f>'DATA Growth'!H112*'DATA Growth'!H92/1000</f>
        <v>4.14171286263335</v>
      </c>
      <c r="E64" s="160">
        <f>'DATA Growth'!I112*'DATA Growth'!I92/1000</f>
        <v>3.520455933238347</v>
      </c>
      <c r="F64" s="160">
        <f>'DATA Growth'!J112*'DATA Growth'!J92/1000</f>
        <v>2.9923875432525953</v>
      </c>
      <c r="G64" s="160">
        <f>'DATA Growth'!K112*'DATA Growth'!K92/1000</f>
        <v>2.543529411764706</v>
      </c>
      <c r="H64" s="160">
        <f>'DATA Growth'!L112*'DATA Growth'!L92/1000</f>
        <v>2.162</v>
      </c>
      <c r="I64" s="160">
        <f>'DATA Growth'!M112*'DATA Growth'!M92/1000</f>
        <v>1.9674200000000002</v>
      </c>
      <c r="J64" s="160">
        <f>'DATA Growth'!N112*'DATA Growth'!N92/1000</f>
        <v>1.7903522</v>
      </c>
      <c r="K64" s="160">
        <f>'DATA Growth'!O112*'DATA Growth'!O92/1000</f>
        <v>1.6292205020000001</v>
      </c>
      <c r="L64" s="161">
        <f>'DATA Growth'!P112*'DATA Growth'!P92/1000</f>
        <v>1.4825906568200002</v>
      </c>
      <c r="M64" s="159">
        <f>'DATA Growth'!Q112*'DATA Growth'!Q92/1000</f>
        <v>1.3491574977062002</v>
      </c>
      <c r="N64" s="161">
        <f>'DATA Growth'!R112*'DATA Growth'!R92/1000</f>
        <v>1.2277333229126424</v>
      </c>
      <c r="O64" s="159">
        <f>'DATA Growth'!S112*'DATA Growth'!S92/1000</f>
        <v>1.1172373238505044</v>
      </c>
      <c r="P64" s="160">
        <f>'DATA Growth'!T112*'DATA Growth'!T92/1000</f>
        <v>1.0166859647039592</v>
      </c>
      <c r="Q64" s="160">
        <f>'DATA Growth'!U112*'DATA Growth'!U92/1000</f>
        <v>0.9251842278806028</v>
      </c>
      <c r="R64" s="160">
        <f>'DATA Growth'!V112*'DATA Growth'!V92/1000</f>
        <v>0.8419176473713486</v>
      </c>
      <c r="S64" s="161">
        <f>'DATA Growth'!W112*'DATA Growth'!W92/1000</f>
        <v>0.7661450591079273</v>
      </c>
    </row>
    <row r="65" spans="1:19" ht="15" customHeight="1">
      <c r="A65" s="212" t="s">
        <v>88</v>
      </c>
      <c r="B65" s="159">
        <f>'DATA Growth'!F113*'DATA Growth'!F93/1000</f>
        <v>19.059965952</v>
      </c>
      <c r="C65" s="160">
        <f>'DATA Growth'!G113*'DATA Growth'!G93/1000</f>
        <v>23.824957440000002</v>
      </c>
      <c r="D65" s="160">
        <f>'DATA Growth'!H113*'DATA Growth'!H93/1000</f>
        <v>29.7811968</v>
      </c>
      <c r="E65" s="160">
        <f>'DATA Growth'!I113*'DATA Growth'!I93/1000</f>
        <v>37.226496</v>
      </c>
      <c r="F65" s="160">
        <f>'DATA Growth'!J113*'DATA Growth'!J93/1000</f>
        <v>46.53312</v>
      </c>
      <c r="G65" s="160">
        <f>'DATA Growth'!K113*'DATA Growth'!K93/1000</f>
        <v>58.1664</v>
      </c>
      <c r="H65" s="160">
        <f>'DATA Growth'!L113*'DATA Growth'!L93/1000</f>
        <v>72.708</v>
      </c>
      <c r="I65" s="160">
        <f>'DATA Growth'!M113*'DATA Growth'!M93/1000</f>
        <v>86.34074999999999</v>
      </c>
      <c r="J65" s="160">
        <f>'DATA Growth'!N113*'DATA Growth'!N93/1000</f>
        <v>102.52964062499998</v>
      </c>
      <c r="K65" s="160">
        <f>'DATA Growth'!O113*'DATA Growth'!O93/1000</f>
        <v>121.75394824218749</v>
      </c>
      <c r="L65" s="161">
        <f>'DATA Growth'!P113*'DATA Growth'!P93/1000</f>
        <v>144.58281353759762</v>
      </c>
      <c r="M65" s="159">
        <f>'DATA Growth'!Q113*'DATA Growth'!Q93/1000</f>
        <v>171.6920910758972</v>
      </c>
      <c r="N65" s="161">
        <f>'DATA Growth'!R113*'DATA Growth'!R93/1000</f>
        <v>203.8843581526279</v>
      </c>
      <c r="O65" s="159">
        <f>'DATA Growth'!S113*'DATA Growth'!S93/1000</f>
        <v>242.1126753062456</v>
      </c>
      <c r="P65" s="160">
        <f>'DATA Growth'!T113*'DATA Growth'!T93/1000</f>
        <v>287.50880192616665</v>
      </c>
      <c r="Q65" s="160">
        <f>'DATA Growth'!U113*'DATA Growth'!U93/1000</f>
        <v>341.4167022873229</v>
      </c>
      <c r="R65" s="160">
        <f>'DATA Growth'!V113*'DATA Growth'!V93/1000</f>
        <v>405.43233396619587</v>
      </c>
      <c r="S65" s="161">
        <f>'DATA Growth'!W113*'DATA Growth'!W93/1000</f>
        <v>481.4508965848576</v>
      </c>
    </row>
    <row r="66" spans="1:19" ht="15" customHeight="1">
      <c r="A66" s="155" t="s">
        <v>90</v>
      </c>
      <c r="B66" s="159">
        <f>'DATA Growth'!F114*'DATA Growth'!F94/1000</f>
        <v>526.7244647479677</v>
      </c>
      <c r="C66" s="160">
        <f>'DATA Growth'!G114*'DATA Growth'!G94/1000</f>
        <v>523.9328250848033</v>
      </c>
      <c r="D66" s="160">
        <f>'DATA Growth'!H114*'DATA Growth'!H94/1000</f>
        <v>521.1559811118537</v>
      </c>
      <c r="E66" s="160">
        <f>'DATA Growth'!I114*'DATA Growth'!I94/1000</f>
        <v>518.3938544119609</v>
      </c>
      <c r="F66" s="160">
        <f>'DATA Growth'!J114*'DATA Growth'!J94/1000</f>
        <v>515.6463669835774</v>
      </c>
      <c r="G66" s="160">
        <f>'DATA Growth'!K114*'DATA Growth'!K94/1000</f>
        <v>512.9134412385645</v>
      </c>
      <c r="H66" s="160">
        <f>'DATA Growth'!L114*'DATA Growth'!L94/1000</f>
        <v>510.195</v>
      </c>
      <c r="I66" s="160">
        <f>'DATA Growth'!M114*'DATA Growth'!M94/1000</f>
        <v>533.38336275</v>
      </c>
      <c r="J66" s="160">
        <f>'DATA Growth'!N114*'DATA Growth'!N94/1000</f>
        <v>557.6256365869875</v>
      </c>
      <c r="K66" s="160">
        <f>'DATA Growth'!O114*'DATA Growth'!O94/1000</f>
        <v>582.969721769866</v>
      </c>
      <c r="L66" s="161">
        <f>'DATA Growth'!P114*'DATA Growth'!P94/1000</f>
        <v>609.4656956243065</v>
      </c>
      <c r="M66" s="159">
        <f>'DATA Growth'!Q114*'DATA Growth'!Q94/1000</f>
        <v>637.1659114904312</v>
      </c>
      <c r="N66" s="161">
        <f>'DATA Growth'!R114*'DATA Growth'!R94/1000</f>
        <v>666.1251021676712</v>
      </c>
      <c r="O66" s="159">
        <f>'DATA Growth'!S114*'DATA Growth'!S94/1000</f>
        <v>696.4004880611917</v>
      </c>
      <c r="P66" s="160">
        <f>'DATA Growth'!T114*'DATA Growth'!T94/1000</f>
        <v>728.0518902435728</v>
      </c>
      <c r="Q66" s="160">
        <f>'DATA Growth'!U114*'DATA Growth'!U94/1000</f>
        <v>761.1418486551431</v>
      </c>
      <c r="R66" s="160">
        <f>'DATA Growth'!V114*'DATA Growth'!V94/1000</f>
        <v>795.7357456765195</v>
      </c>
      <c r="S66" s="161">
        <f>'DATA Growth'!W114*'DATA Growth'!W94/1000</f>
        <v>831.9019353175173</v>
      </c>
    </row>
    <row r="67" spans="1:19" ht="15" customHeight="1">
      <c r="A67" s="155" t="s">
        <v>92</v>
      </c>
      <c r="B67" s="159">
        <f>'DATA Growth'!F115*'DATA Growth'!F95/1000</f>
        <v>12.418426461183097</v>
      </c>
      <c r="C67" s="160">
        <f>'DATA Growth'!G115*'DATA Growth'!G95/1000</f>
        <v>13.660269107301408</v>
      </c>
      <c r="D67" s="160">
        <f>'DATA Growth'!H115*'DATA Growth'!H95/1000</f>
        <v>15.026296018031552</v>
      </c>
      <c r="E67" s="160">
        <f>'DATA Growth'!I115*'DATA Growth'!I95/1000</f>
        <v>16.528925619834705</v>
      </c>
      <c r="F67" s="160">
        <f>'DATA Growth'!J115*'DATA Growth'!J95/1000</f>
        <v>18.181818181818176</v>
      </c>
      <c r="G67" s="160">
        <f>'DATA Growth'!K115*'DATA Growth'!K95/1000</f>
        <v>19.999999999999996</v>
      </c>
      <c r="H67" s="160">
        <f>'DATA Growth'!L115*'DATA Growth'!L95/1000</f>
        <v>22</v>
      </c>
      <c r="I67" s="160">
        <f>'DATA Growth'!M115*'DATA Growth'!M95/1000</f>
        <v>24.2</v>
      </c>
      <c r="J67" s="160">
        <f>'DATA Growth'!N115*'DATA Growth'!N95/1000</f>
        <v>26.62</v>
      </c>
      <c r="K67" s="160">
        <f>'DATA Growth'!O115*'DATA Growth'!O95/1000</f>
        <v>29.282000000000004</v>
      </c>
      <c r="L67" s="161">
        <f>'DATA Growth'!P115*'DATA Growth'!P95/1000</f>
        <v>32.21020000000001</v>
      </c>
      <c r="M67" s="159">
        <f>'DATA Growth'!Q115*'DATA Growth'!Q95/1000</f>
        <v>35.43122000000001</v>
      </c>
      <c r="N67" s="161">
        <f>'DATA Growth'!R115*'DATA Growth'!R95/1000</f>
        <v>38.974342000000014</v>
      </c>
      <c r="O67" s="159">
        <f>'DATA Growth'!S115*'DATA Growth'!S95/1000</f>
        <v>42.87177620000001</v>
      </c>
      <c r="P67" s="160">
        <f>'DATA Growth'!T115*'DATA Growth'!T95/1000</f>
        <v>47.158953820000015</v>
      </c>
      <c r="Q67" s="160">
        <f>'DATA Growth'!U115*'DATA Growth'!U95/1000</f>
        <v>51.87484920200003</v>
      </c>
      <c r="R67" s="160">
        <f>'DATA Growth'!V115*'DATA Growth'!V95/1000</f>
        <v>57.06233412220003</v>
      </c>
      <c r="S67" s="161">
        <f>'DATA Growth'!W115*'DATA Growth'!W95/1000</f>
        <v>62.768567534420036</v>
      </c>
    </row>
    <row r="68" spans="1:19" ht="15" customHeight="1">
      <c r="A68" s="155" t="s">
        <v>94</v>
      </c>
      <c r="B68" s="159">
        <f>'DATA Growth'!F116*'DATA Growth'!F96/1000</f>
        <v>36.275436731013684</v>
      </c>
      <c r="C68" s="160">
        <f>'DATA Growth'!G116*'DATA Growth'!G96/1000</f>
        <v>37.72645420025424</v>
      </c>
      <c r="D68" s="160">
        <f>'DATA Growth'!H116*'DATA Growth'!H96/1000</f>
        <v>39.2355123682644</v>
      </c>
      <c r="E68" s="160">
        <f>'DATA Growth'!I116*'DATA Growth'!I96/1000</f>
        <v>40.80493286299498</v>
      </c>
      <c r="F68" s="160">
        <f>'DATA Growth'!J116*'DATA Growth'!J96/1000</f>
        <v>42.43713017751479</v>
      </c>
      <c r="G68" s="160">
        <f>'DATA Growth'!K116*'DATA Growth'!K96/1000</f>
        <v>44.13461538461538</v>
      </c>
      <c r="H68" s="160">
        <f>'DATA Growth'!L116*'DATA Growth'!L96/1000</f>
        <v>45.9</v>
      </c>
      <c r="I68" s="160">
        <f>'DATA Growth'!M116*'DATA Growth'!M96/1000</f>
        <v>46.9557</v>
      </c>
      <c r="J68" s="160">
        <f>'DATA Growth'!N116*'DATA Growth'!N96/1000</f>
        <v>48.03568109999999</v>
      </c>
      <c r="K68" s="160">
        <f>'DATA Growth'!O116*'DATA Growth'!O96/1000</f>
        <v>49.14050176529999</v>
      </c>
      <c r="L68" s="161">
        <f>'DATA Growth'!P116*'DATA Growth'!P96/1000</f>
        <v>50.27073330590188</v>
      </c>
      <c r="M68" s="159">
        <f>'DATA Growth'!Q116*'DATA Growth'!Q96/1000</f>
        <v>51.42696017193762</v>
      </c>
      <c r="N68" s="161">
        <f>'DATA Growth'!R116*'DATA Growth'!R96/1000</f>
        <v>52.60978025589218</v>
      </c>
      <c r="O68" s="159">
        <f>'DATA Growth'!S116*'DATA Growth'!S96/1000</f>
        <v>53.81980520177769</v>
      </c>
      <c r="P68" s="160">
        <f>'DATA Growth'!T116*'DATA Growth'!T96/1000</f>
        <v>55.05766072141857</v>
      </c>
      <c r="Q68" s="160">
        <f>'DATA Growth'!U116*'DATA Growth'!U96/1000</f>
        <v>56.3239869180112</v>
      </c>
      <c r="R68" s="160">
        <f>'DATA Growth'!V116*'DATA Growth'!V96/1000</f>
        <v>57.619438617125454</v>
      </c>
      <c r="S68" s="161">
        <f>'DATA Growth'!W116*'DATA Growth'!W96/1000</f>
        <v>58.94468570531933</v>
      </c>
    </row>
    <row r="69" spans="1:19" ht="15" customHeight="1">
      <c r="A69" s="155" t="s">
        <v>96</v>
      </c>
      <c r="B69" s="159">
        <f>'DATA Growth'!F117*'DATA Growth'!F97/1000</f>
        <v>2.5360462675237647</v>
      </c>
      <c r="C69" s="160">
        <f>'DATA Growth'!G117*'DATA Growth'!G97/1000</f>
        <v>2.5867671928742397</v>
      </c>
      <c r="D69" s="160">
        <f>'DATA Growth'!H117*'DATA Growth'!H97/1000</f>
        <v>2.6385025367317243</v>
      </c>
      <c r="E69" s="160">
        <f>'DATA Growth'!I117*'DATA Growth'!I97/1000</f>
        <v>2.691272587466359</v>
      </c>
      <c r="F69" s="160">
        <f>'DATA Growth'!J117*'DATA Growth'!J97/1000</f>
        <v>2.7450980392156863</v>
      </c>
      <c r="G69" s="160">
        <f>'DATA Growth'!K117*'DATA Growth'!K97/1000</f>
        <v>2.8</v>
      </c>
      <c r="H69" s="160">
        <f>'DATA Growth'!L117*'DATA Growth'!L97/1000</f>
        <v>2.856</v>
      </c>
      <c r="I69" s="160">
        <f>'DATA Growth'!M117*'DATA Growth'!M97/1000</f>
        <v>2.9131199999999997</v>
      </c>
      <c r="J69" s="160">
        <f>'DATA Growth'!N117*'DATA Growth'!N97/1000</f>
        <v>2.9713824</v>
      </c>
      <c r="K69" s="160">
        <f>'DATA Growth'!O117*'DATA Growth'!O97/1000</f>
        <v>3.0308100479999998</v>
      </c>
      <c r="L69" s="161">
        <f>'DATA Growth'!P117*'DATA Growth'!P97/1000</f>
        <v>3.09142624896</v>
      </c>
      <c r="M69" s="159">
        <f>'DATA Growth'!Q117*'DATA Growth'!Q97/1000</f>
        <v>3.1532547739392003</v>
      </c>
      <c r="N69" s="161">
        <f>'DATA Growth'!R117*'DATA Growth'!R97/1000</f>
        <v>3.216319869417984</v>
      </c>
      <c r="O69" s="159">
        <f>'DATA Growth'!S117*'DATA Growth'!S97/1000</f>
        <v>3.280646266806344</v>
      </c>
      <c r="P69" s="160">
        <f>'DATA Growth'!T117*'DATA Growth'!T97/1000</f>
        <v>3.346259192142471</v>
      </c>
      <c r="Q69" s="160">
        <f>'DATA Growth'!U117*'DATA Growth'!U97/1000</f>
        <v>3.4131843759853204</v>
      </c>
      <c r="R69" s="160">
        <f>'DATA Growth'!V117*'DATA Growth'!V97/1000</f>
        <v>3.481448063505027</v>
      </c>
      <c r="S69" s="161">
        <f>'DATA Growth'!W117*'DATA Growth'!W97/1000</f>
        <v>3.5510770247751275</v>
      </c>
    </row>
    <row r="70" spans="1:19" ht="15" customHeight="1">
      <c r="A70" s="155" t="s">
        <v>5</v>
      </c>
      <c r="B70" s="159">
        <f>'DATA Growth'!F118*'DATA Growth'!F98/1000</f>
        <v>0.011061728395061728</v>
      </c>
      <c r="C70" s="160">
        <f>'DATA Growth'!G118*'DATA Growth'!G98/1000</f>
        <v>0.016592592592592593</v>
      </c>
      <c r="D70" s="160">
        <f>'DATA Growth'!H118*'DATA Growth'!H98/1000</f>
        <v>0.02488888888888889</v>
      </c>
      <c r="E70" s="160">
        <f>'DATA Growth'!I118*'DATA Growth'!I98/1000</f>
        <v>0.037333333333333336</v>
      </c>
      <c r="F70" s="160">
        <f>'DATA Growth'!J118*'DATA Growth'!J98/1000</f>
        <v>0.056</v>
      </c>
      <c r="G70" s="160">
        <f>'DATA Growth'!K118*'DATA Growth'!K98/1000</f>
        <v>0.084</v>
      </c>
      <c r="H70" s="160">
        <f>'DATA Growth'!L118*'DATA Growth'!L98/1000</f>
        <v>0.126</v>
      </c>
      <c r="I70" s="160">
        <f>'DATA Growth'!M118*'DATA Growth'!M98/1000</f>
        <v>0.19278</v>
      </c>
      <c r="J70" s="160">
        <f>'DATA Growth'!N118*'DATA Growth'!N98/1000</f>
        <v>0.2949534</v>
      </c>
      <c r="K70" s="160">
        <f>'DATA Growth'!O118*'DATA Growth'!O98/1000</f>
        <v>0.451278702</v>
      </c>
      <c r="L70" s="161">
        <f>'DATA Growth'!P118*'DATA Growth'!P98/1000</f>
        <v>0.6904564140599999</v>
      </c>
      <c r="M70" s="159">
        <f>'DATA Growth'!Q118*'DATA Growth'!Q98/1000</f>
        <v>1.0563983135118</v>
      </c>
      <c r="N70" s="161">
        <f>'DATA Growth'!R118*'DATA Growth'!R98/1000</f>
        <v>1.616289419673054</v>
      </c>
      <c r="O70" s="159">
        <f>'DATA Growth'!S118*'DATA Growth'!S98/1000</f>
        <v>2.472922812099773</v>
      </c>
      <c r="P70" s="160">
        <f>'DATA Growth'!T118*'DATA Growth'!T98/1000</f>
        <v>3.783571902512653</v>
      </c>
      <c r="Q70" s="160">
        <f>'DATA Growth'!U118*'DATA Growth'!U98/1000</f>
        <v>5.788865010844358</v>
      </c>
      <c r="R70" s="160">
        <f>'DATA Growth'!V118*'DATA Growth'!V98/1000</f>
        <v>8.85696346659187</v>
      </c>
      <c r="S70" s="161">
        <f>'DATA Growth'!W118*'DATA Growth'!W98/1000</f>
        <v>13.55115410388556</v>
      </c>
    </row>
    <row r="71" spans="1:19" ht="15" customHeight="1">
      <c r="A71" s="155" t="s">
        <v>33</v>
      </c>
      <c r="B71" s="159">
        <f>'DATA Growth'!F119*'DATA Growth'!F99/1000</f>
        <v>0.2690797285117256</v>
      </c>
      <c r="C71" s="160">
        <f>'DATA Growth'!G119*'DATA Growth'!G99/1000</f>
        <v>0.4843435113211062</v>
      </c>
      <c r="D71" s="160">
        <f>'DATA Growth'!H119*'DATA Growth'!H99/1000</f>
        <v>0.8718183203779911</v>
      </c>
      <c r="E71" s="160">
        <f>'DATA Growth'!I119*'DATA Growth'!I99/1000</f>
        <v>1.5692729766803841</v>
      </c>
      <c r="F71" s="160">
        <f>'DATA Growth'!J119*'DATA Growth'!J99/1000</f>
        <v>2.8246913580246913</v>
      </c>
      <c r="G71" s="160">
        <f>'DATA Growth'!K119*'DATA Growth'!K99/1000</f>
        <v>5.084444444444444</v>
      </c>
      <c r="H71" s="160">
        <f>'DATA Growth'!L119*'DATA Growth'!L99/1000</f>
        <v>9.152</v>
      </c>
      <c r="I71" s="160">
        <f>'DATA Growth'!M119*'DATA Growth'!M99/1000</f>
        <v>15.869568</v>
      </c>
      <c r="J71" s="160">
        <f>'DATA Growth'!N119*'DATA Growth'!N99/1000</f>
        <v>27.517830911999997</v>
      </c>
      <c r="K71" s="160">
        <f>'DATA Growth'!O119*'DATA Growth'!O99/1000</f>
        <v>47.715918801407994</v>
      </c>
      <c r="L71" s="161">
        <f>'DATA Growth'!P119*'DATA Growth'!P99/1000</f>
        <v>82.73940320164145</v>
      </c>
      <c r="M71" s="159">
        <f>'DATA Growth'!Q119*'DATA Growth'!Q99/1000</f>
        <v>118.15186777194401</v>
      </c>
      <c r="N71" s="161">
        <f>'DATA Growth'!R119*'DATA Growth'!R99/1000</f>
        <v>168.72086717833605</v>
      </c>
      <c r="O71" s="159">
        <f>'DATA Growth'!S119*'DATA Growth'!S99/1000</f>
        <v>206.5143414262833</v>
      </c>
      <c r="P71" s="160">
        <f>'DATA Growth'!T119*'DATA Growth'!T99/1000</f>
        <v>252.77355390577077</v>
      </c>
      <c r="Q71" s="160">
        <f>'DATA Growth'!U119*'DATA Growth'!U99/1000</f>
        <v>309.39482998066336</v>
      </c>
      <c r="R71" s="160">
        <f>'DATA Growth'!V119*'DATA Growth'!V99/1000</f>
        <v>378.699271896332</v>
      </c>
      <c r="S71" s="161">
        <f>'DATA Growth'!W119*'DATA Growth'!W99/1000</f>
        <v>463.5279088011103</v>
      </c>
    </row>
    <row r="72" spans="1:19" ht="15" customHeight="1">
      <c r="A72" s="155" t="s">
        <v>101</v>
      </c>
      <c r="B72" s="159">
        <f>'DATA Growth'!F120*'DATA Growth'!F100/1000</f>
        <v>26.925291174243004</v>
      </c>
      <c r="C72" s="160">
        <f>'DATA Growth'!G120*'DATA Growth'!G100/1000</f>
        <v>33.27965989136435</v>
      </c>
      <c r="D72" s="160">
        <f>'DATA Growth'!H120*'DATA Growth'!H100/1000</f>
        <v>41.133659625726345</v>
      </c>
      <c r="E72" s="160">
        <f>'DATA Growth'!I120*'DATA Growth'!I100/1000</f>
        <v>50.841203297397755</v>
      </c>
      <c r="F72" s="160">
        <f>'DATA Growth'!J120*'DATA Growth'!J100/1000</f>
        <v>62.83972727558363</v>
      </c>
      <c r="G72" s="160">
        <f>'DATA Growth'!K120*'DATA Growth'!K100/1000</f>
        <v>77.66990291262135</v>
      </c>
      <c r="H72" s="160">
        <f>'DATA Growth'!L120*'DATA Growth'!L100/1000</f>
        <v>96</v>
      </c>
      <c r="I72" s="160">
        <f>'DATA Growth'!M120*'DATA Growth'!M100/1000</f>
        <v>118.656</v>
      </c>
      <c r="J72" s="160">
        <f>'DATA Growth'!N120*'DATA Growth'!N100/1000</f>
        <v>146.65881600000003</v>
      </c>
      <c r="K72" s="160">
        <f>'DATA Growth'!O120*'DATA Growth'!O100/1000</f>
        <v>181.27029657600002</v>
      </c>
      <c r="L72" s="161">
        <f>'DATA Growth'!P120*'DATA Growth'!P100/1000</f>
        <v>224.05008656793603</v>
      </c>
      <c r="M72" s="159">
        <f>'DATA Growth'!Q120*'DATA Growth'!Q100/1000</f>
        <v>276.925906997969</v>
      </c>
      <c r="N72" s="161">
        <f>'DATA Growth'!R120*'DATA Growth'!R100/1000</f>
        <v>342.28042104948963</v>
      </c>
      <c r="O72" s="159">
        <f>'DATA Growth'!S120*'DATA Growth'!S100/1000</f>
        <v>423.05860041716915</v>
      </c>
      <c r="P72" s="160">
        <f>'DATA Growth'!T120*'DATA Growth'!T100/1000</f>
        <v>522.900430115621</v>
      </c>
      <c r="Q72" s="160">
        <f>'DATA Growth'!U120*'DATA Growth'!U100/1000</f>
        <v>646.3049316229076</v>
      </c>
      <c r="R72" s="160">
        <f>'DATA Growth'!V120*'DATA Growth'!V100/1000</f>
        <v>798.8328954859138</v>
      </c>
      <c r="S72" s="161">
        <f>'DATA Growth'!W120*'DATA Growth'!W100/1000</f>
        <v>987.3574588205895</v>
      </c>
    </row>
    <row r="73" spans="1:19" ht="15" customHeight="1">
      <c r="A73" s="155" t="s">
        <v>16</v>
      </c>
      <c r="B73" s="159">
        <f>'DATA Growth'!F121*'DATA Growth'!F101/1000</f>
        <v>10.680749914905551</v>
      </c>
      <c r="C73" s="160">
        <f>'DATA Growth'!G121*'DATA Growth'!G101/1000</f>
        <v>11.748824906396107</v>
      </c>
      <c r="D73" s="160">
        <f>'DATA Growth'!H121*'DATA Growth'!H101/1000</f>
        <v>12.92370739703572</v>
      </c>
      <c r="E73" s="160">
        <f>'DATA Growth'!I121*'DATA Growth'!I101/1000</f>
        <v>14.216078136739291</v>
      </c>
      <c r="F73" s="160">
        <f>'DATA Growth'!J121*'DATA Growth'!J101/1000</f>
        <v>15.637685950413221</v>
      </c>
      <c r="G73" s="160">
        <f>'DATA Growth'!K121*'DATA Growth'!K101/1000</f>
        <v>17.201454545454546</v>
      </c>
      <c r="H73" s="160">
        <f>'DATA Growth'!L121*'DATA Growth'!L101/1000</f>
        <v>18.9216</v>
      </c>
      <c r="I73" s="160">
        <f>'DATA Growth'!M121*'DATA Growth'!M101/1000</f>
        <v>23.652</v>
      </c>
      <c r="J73" s="160">
        <f>'DATA Growth'!N121*'DATA Growth'!N101/1000</f>
        <v>29.565</v>
      </c>
      <c r="K73" s="160">
        <f>'DATA Growth'!O121*'DATA Growth'!O101/1000</f>
        <v>36.95625</v>
      </c>
      <c r="L73" s="161">
        <f>'DATA Growth'!P121*'DATA Growth'!P101/1000</f>
        <v>46.1953125</v>
      </c>
      <c r="M73" s="159">
        <f>'DATA Growth'!Q121*'DATA Growth'!Q101/1000</f>
        <v>57.744140625</v>
      </c>
      <c r="N73" s="161">
        <f>'DATA Growth'!R121*'DATA Growth'!R101/1000</f>
        <v>72.18017578125</v>
      </c>
      <c r="O73" s="159">
        <f>'DATA Growth'!S121*'DATA Growth'!S101/1000</f>
        <v>90.2252197265625</v>
      </c>
      <c r="P73" s="160">
        <f>'DATA Growth'!T121*'DATA Growth'!T101/1000</f>
        <v>112.78152465820312</v>
      </c>
      <c r="Q73" s="160">
        <f>'DATA Growth'!U121*'DATA Growth'!U101/1000</f>
        <v>140.9769058227539</v>
      </c>
      <c r="R73" s="160">
        <f>'DATA Growth'!V121*'DATA Growth'!V101/1000</f>
        <v>176.22113227844238</v>
      </c>
      <c r="S73" s="161">
        <f>'DATA Growth'!W121*'DATA Growth'!W101/1000</f>
        <v>220.27641534805298</v>
      </c>
    </row>
    <row r="74" spans="1:19" ht="15" customHeight="1">
      <c r="A74" s="151" t="s">
        <v>328</v>
      </c>
      <c r="B74" s="368">
        <f>SUM(B57:B73)</f>
        <v>968.5805814938881</v>
      </c>
      <c r="C74" s="366">
        <f>SUM(C57:C73)</f>
        <v>986.0228772492006</v>
      </c>
      <c r="D74" s="366">
        <f>SUM(D57:D73)</f>
        <v>1007.820057880764</v>
      </c>
      <c r="E74" s="366">
        <f>SUM(E57:E73)</f>
        <v>1034.852713967025</v>
      </c>
      <c r="F74" s="366">
        <f>SUM(F57:F73)</f>
        <v>1068.2900531365021</v>
      </c>
      <c r="G74" s="366">
        <f aca="true" t="shared" si="14" ref="G74:H74">SUM(G57:G73)</f>
        <v>1109.7189560075742</v>
      </c>
      <c r="H74" s="367">
        <f t="shared" si="14"/>
        <v>1161.3536</v>
      </c>
      <c r="I74" s="366">
        <f>SUM(I57:I73)</f>
        <v>1246.3554702499998</v>
      </c>
      <c r="J74" s="366">
        <f aca="true" t="shared" si="15" ref="J74:K74">SUM(J57:J73)</f>
        <v>1338.7700701625372</v>
      </c>
      <c r="K74" s="366">
        <f t="shared" si="15"/>
        <v>1454.6966360717952</v>
      </c>
      <c r="L74" s="369">
        <f>SUM(L57:L73)</f>
        <v>1601.3604045146408</v>
      </c>
      <c r="M74" s="368">
        <f>SUM(M57:M73)</f>
        <v>1767.6062881904513</v>
      </c>
      <c r="N74" s="369">
        <f>SUM(N57:N73)</f>
        <v>1972.2218132175963</v>
      </c>
      <c r="O74" s="368">
        <f aca="true" t="shared" si="16" ref="O74:S74">SUM(O57:O73)</f>
        <v>2192.2080826075908</v>
      </c>
      <c r="P74" s="366">
        <f t="shared" si="16"/>
        <v>2454.871110126458</v>
      </c>
      <c r="Q74" s="366">
        <f t="shared" si="16"/>
        <v>2769.577926888459</v>
      </c>
      <c r="R74" s="366">
        <f t="shared" si="16"/>
        <v>3147.872623129869</v>
      </c>
      <c r="S74" s="369">
        <f t="shared" si="16"/>
        <v>3604.011081094608</v>
      </c>
    </row>
    <row r="75" spans="1:18" ht="15" customHeight="1">
      <c r="A75" s="374"/>
      <c r="B75" s="375"/>
      <c r="C75" s="375"/>
      <c r="D75" s="375"/>
      <c r="E75" s="375"/>
      <c r="F75" s="375"/>
      <c r="G75" s="375"/>
      <c r="H75" s="376"/>
      <c r="I75" s="375"/>
      <c r="J75" s="375"/>
      <c r="K75" s="375"/>
      <c r="L75" s="375"/>
      <c r="M75" s="375"/>
      <c r="N75" s="375"/>
      <c r="O75" s="371"/>
      <c r="P75" s="371"/>
      <c r="Q75" s="385"/>
      <c r="R75" s="371"/>
    </row>
    <row r="76" spans="1:18" ht="15" customHeight="1">
      <c r="A76" s="374"/>
      <c r="B76" s="375"/>
      <c r="C76" s="375"/>
      <c r="D76" s="375"/>
      <c r="E76" s="375"/>
      <c r="F76" s="375"/>
      <c r="G76" s="375"/>
      <c r="H76" s="376"/>
      <c r="I76" s="375"/>
      <c r="J76" s="375"/>
      <c r="K76" s="375"/>
      <c r="L76" s="375"/>
      <c r="M76" s="375"/>
      <c r="N76" s="375"/>
      <c r="O76" s="371"/>
      <c r="P76" s="371"/>
      <c r="Q76" s="385"/>
      <c r="R76" s="371"/>
    </row>
    <row r="77" spans="1:19" ht="30" customHeight="1">
      <c r="A77" s="151" t="s">
        <v>156</v>
      </c>
      <c r="B77" s="153">
        <v>2013</v>
      </c>
      <c r="C77" s="152">
        <v>2014</v>
      </c>
      <c r="D77" s="152">
        <v>2015</v>
      </c>
      <c r="E77" s="152">
        <v>2016</v>
      </c>
      <c r="F77" s="152">
        <v>2017</v>
      </c>
      <c r="G77" s="152">
        <v>2018</v>
      </c>
      <c r="H77" s="386">
        <v>2019</v>
      </c>
      <c r="I77" s="152">
        <v>2020</v>
      </c>
      <c r="J77" s="152">
        <v>2021</v>
      </c>
      <c r="K77" s="152">
        <v>2022</v>
      </c>
      <c r="L77" s="154">
        <v>2023</v>
      </c>
      <c r="M77" s="153">
        <v>2024</v>
      </c>
      <c r="N77" s="154">
        <v>2025</v>
      </c>
      <c r="O77" s="153">
        <v>2026</v>
      </c>
      <c r="P77" s="152">
        <v>2027</v>
      </c>
      <c r="Q77" s="152">
        <v>2028</v>
      </c>
      <c r="R77" s="152">
        <v>2029</v>
      </c>
      <c r="S77" s="154">
        <v>2030</v>
      </c>
    </row>
    <row r="78" spans="1:19" ht="15" customHeight="1">
      <c r="A78" s="155" t="s">
        <v>158</v>
      </c>
      <c r="B78" s="159">
        <f>'DATA Growth'!F129</f>
        <v>342.72</v>
      </c>
      <c r="C78" s="160">
        <f>'DATA Growth'!G129</f>
        <v>388.8</v>
      </c>
      <c r="D78" s="160">
        <f>'DATA Growth'!H129</f>
        <v>506.48275862068965</v>
      </c>
      <c r="E78" s="160">
        <f>'DATA Growth'!I129</f>
        <v>587.52</v>
      </c>
      <c r="F78" s="160">
        <f>'DATA Growth'!J129</f>
        <v>702</v>
      </c>
      <c r="G78" s="160">
        <f>'DATA Growth'!K129</f>
        <v>807.3</v>
      </c>
      <c r="H78" s="160">
        <f>'DATA Growth'!L129</f>
        <v>928.3949999999999</v>
      </c>
      <c r="I78" s="160">
        <f>'DATA Growth'!M129</f>
        <v>1095.5060999999998</v>
      </c>
      <c r="J78" s="160">
        <f>'DATA Growth'!N129</f>
        <v>1292.6971979999998</v>
      </c>
      <c r="K78" s="160">
        <f>'DATA Growth'!O129</f>
        <v>1525.3826936399998</v>
      </c>
      <c r="L78" s="161">
        <f>'DATA Growth'!P129</f>
        <v>1799.9515784951998</v>
      </c>
      <c r="M78" s="159">
        <f>'DATA Growth'!Q129</f>
        <v>2123.9428626243357</v>
      </c>
      <c r="N78" s="161">
        <f>'DATA Growth'!R129</f>
        <v>2506.252577896716</v>
      </c>
      <c r="O78" s="159">
        <f>'DATA Growth'!S129</f>
        <v>2957.378041918125</v>
      </c>
      <c r="P78" s="160">
        <f>'DATA Growth'!T129</f>
        <v>3489.7060894633873</v>
      </c>
      <c r="Q78" s="160">
        <f>'DATA Growth'!U129</f>
        <v>4117.853185566797</v>
      </c>
      <c r="R78" s="160">
        <f>'DATA Growth'!V129</f>
        <v>4859.06675896882</v>
      </c>
      <c r="S78" s="161">
        <f>'DATA Growth'!W129</f>
        <v>5733.698775583207</v>
      </c>
    </row>
    <row r="79" spans="1:19" ht="15" customHeight="1">
      <c r="A79" s="155" t="s">
        <v>161</v>
      </c>
      <c r="B79" s="159">
        <f>'DATA Growth'!F130</f>
        <v>250.92</v>
      </c>
      <c r="C79" s="160">
        <f>'DATA Growth'!G130</f>
        <v>302.4</v>
      </c>
      <c r="D79" s="160">
        <f>'DATA Growth'!H130</f>
        <v>403.2</v>
      </c>
      <c r="E79" s="160">
        <f>'DATA Growth'!I130</f>
        <v>483.84</v>
      </c>
      <c r="F79" s="160">
        <f>'DATA Growth'!J130</f>
        <v>629</v>
      </c>
      <c r="G79" s="160">
        <f>'DATA Growth'!K130</f>
        <v>823.99</v>
      </c>
      <c r="H79" s="160">
        <f>'DATA Growth'!L130</f>
        <v>1079.4269000000002</v>
      </c>
      <c r="I79" s="160">
        <f>'DATA Growth'!M130</f>
        <v>1457.2263150000003</v>
      </c>
      <c r="J79" s="160">
        <f>'DATA Growth'!N130</f>
        <v>1967.2555252500006</v>
      </c>
      <c r="K79" s="160">
        <f>'DATA Growth'!O130</f>
        <v>2655.794959087501</v>
      </c>
      <c r="L79" s="161">
        <f>'DATA Growth'!P130</f>
        <v>3585.3231947681265</v>
      </c>
      <c r="M79" s="159">
        <f>'DATA Growth'!Q130</f>
        <v>4840.186312936971</v>
      </c>
      <c r="N79" s="161">
        <f>'DATA Growth'!R130</f>
        <v>6534.251522464911</v>
      </c>
      <c r="O79" s="159">
        <f>'DATA Growth'!S130</f>
        <v>8821.239555327631</v>
      </c>
      <c r="P79" s="160">
        <f>'DATA Growth'!T130</f>
        <v>11908.673399692303</v>
      </c>
      <c r="Q79" s="160">
        <f>'DATA Growth'!U130</f>
        <v>16076.70908958461</v>
      </c>
      <c r="R79" s="160">
        <f>'DATA Growth'!V130</f>
        <v>21703.557270939225</v>
      </c>
      <c r="S79" s="161">
        <f>'DATA Growth'!W130</f>
        <v>29299.802315767956</v>
      </c>
    </row>
    <row r="80" spans="1:19" ht="15" customHeight="1">
      <c r="A80" s="155" t="s">
        <v>163</v>
      </c>
      <c r="B80" s="159">
        <f>'DATA Growth'!F131</f>
        <v>593.64</v>
      </c>
      <c r="C80" s="160">
        <f>'DATA Growth'!G131</f>
        <v>691.2</v>
      </c>
      <c r="D80" s="160">
        <f>'DATA Growth'!H131</f>
        <v>909.6827586206896</v>
      </c>
      <c r="E80" s="160">
        <f>'DATA Growth'!I131</f>
        <v>1071.36</v>
      </c>
      <c r="F80" s="160">
        <f>'DATA Growth'!J131</f>
        <v>1331</v>
      </c>
      <c r="G80" s="160">
        <f>'DATA Growth'!K131</f>
        <v>1631.29</v>
      </c>
      <c r="H80" s="160">
        <f>'DATA Growth'!L131</f>
        <v>2007.8219</v>
      </c>
      <c r="I80" s="160">
        <f>'DATA Growth'!M131</f>
        <v>2552.7324150000004</v>
      </c>
      <c r="J80" s="160">
        <f>'DATA Growth'!N131</f>
        <v>3259.9527232500004</v>
      </c>
      <c r="K80" s="160">
        <f>'DATA Growth'!O131</f>
        <v>4181.177652727501</v>
      </c>
      <c r="L80" s="161">
        <f>'DATA Growth'!P131</f>
        <v>5385.274773263326</v>
      </c>
      <c r="M80" s="159">
        <f>'DATA Growth'!Q131</f>
        <v>6964.129175561307</v>
      </c>
      <c r="N80" s="161">
        <f>'DATA Growth'!R131</f>
        <v>9040.504100361628</v>
      </c>
      <c r="O80" s="159">
        <f>'DATA Growth'!S131</f>
        <v>11778.617597245757</v>
      </c>
      <c r="P80" s="160">
        <f>'DATA Growth'!T131</f>
        <v>15398.37948915569</v>
      </c>
      <c r="Q80" s="160">
        <f>'DATA Growth'!U131</f>
        <v>20194.56227515141</v>
      </c>
      <c r="R80" s="160">
        <f>'DATA Growth'!V131</f>
        <v>26562.624029908045</v>
      </c>
      <c r="S80" s="161">
        <f>'DATA Growth'!W131</f>
        <v>35033.501091351165</v>
      </c>
    </row>
    <row r="81" spans="1:19" ht="15" customHeight="1">
      <c r="A81" s="155" t="s">
        <v>165</v>
      </c>
      <c r="B81" s="159">
        <f>'DATA Growth'!F132</f>
        <v>16</v>
      </c>
      <c r="C81" s="160">
        <f>'DATA Growth'!G132</f>
        <v>28.799999999999955</v>
      </c>
      <c r="D81" s="160">
        <f>'DATA Growth'!H132</f>
        <v>58.9041095890411</v>
      </c>
      <c r="E81" s="160">
        <f>'DATA Growth'!I132</f>
        <v>86</v>
      </c>
      <c r="F81" s="160">
        <f>'DATA Growth'!J132</f>
        <v>133</v>
      </c>
      <c r="G81" s="160">
        <f>'DATA Growth'!K132</f>
        <v>228</v>
      </c>
      <c r="H81" s="160">
        <f>'DATA Growth'!L132</f>
        <v>348</v>
      </c>
      <c r="I81" s="160">
        <f>'DATA Growth'!M132</f>
        <v>504.59999999999997</v>
      </c>
      <c r="J81" s="160">
        <f>'DATA Growth'!N132</f>
        <v>731.67</v>
      </c>
      <c r="K81" s="160">
        <f>'DATA Growth'!O132</f>
        <v>1060.9215</v>
      </c>
      <c r="L81" s="161">
        <f>'DATA Growth'!P132</f>
        <v>1538.336175</v>
      </c>
      <c r="M81" s="159">
        <f>'DATA Growth'!Q132</f>
        <v>2230.58745375</v>
      </c>
      <c r="N81" s="161">
        <f>'DATA Growth'!R132</f>
        <v>3234.3518079375</v>
      </c>
      <c r="O81" s="159">
        <f>'DATA Growth'!S132</f>
        <v>4689.810121509375</v>
      </c>
      <c r="P81" s="160">
        <f>'DATA Growth'!T132</f>
        <v>6800.224676188594</v>
      </c>
      <c r="Q81" s="160">
        <f>'DATA Growth'!U132</f>
        <v>9860.32578047346</v>
      </c>
      <c r="R81" s="160">
        <f>'DATA Growth'!V132</f>
        <v>14297.472381686517</v>
      </c>
      <c r="S81" s="161">
        <f>'DATA Growth'!W132</f>
        <v>20731.33495344545</v>
      </c>
    </row>
    <row r="82" spans="1:19" s="143" customFormat="1" ht="15" customHeight="1">
      <c r="A82" s="197" t="s">
        <v>166</v>
      </c>
      <c r="B82" s="201">
        <f>'DATA Growth'!F133</f>
        <v>609.64</v>
      </c>
      <c r="C82" s="202">
        <f>'DATA Growth'!G133</f>
        <v>720</v>
      </c>
      <c r="D82" s="202">
        <f>'DATA Growth'!H133</f>
        <v>968.5868682097307</v>
      </c>
      <c r="E82" s="202">
        <f>'DATA Growth'!I133</f>
        <v>1157.36</v>
      </c>
      <c r="F82" s="202">
        <f>'DATA Growth'!J133</f>
        <v>1464</v>
      </c>
      <c r="G82" s="202">
        <f>'DATA Growth'!K133</f>
        <v>1859.29</v>
      </c>
      <c r="H82" s="202">
        <f>'DATA Growth'!L133</f>
        <v>2355.8219</v>
      </c>
      <c r="I82" s="202">
        <f>'DATA Growth'!M133</f>
        <v>3057.3324150000003</v>
      </c>
      <c r="J82" s="202">
        <f>'DATA Growth'!N133</f>
        <v>3991.6227232500005</v>
      </c>
      <c r="K82" s="202">
        <f>'DATA Growth'!O133</f>
        <v>5242.0991527275</v>
      </c>
      <c r="L82" s="259">
        <f>'DATA Growth'!P133</f>
        <v>6923.610948263326</v>
      </c>
      <c r="M82" s="201">
        <f>'DATA Growth'!Q133</f>
        <v>9194.716629311308</v>
      </c>
      <c r="N82" s="259">
        <f>'DATA Growth'!R133</f>
        <v>12274.855908299127</v>
      </c>
      <c r="O82" s="201">
        <f>'DATA Growth'!S133</f>
        <v>16468.42771875513</v>
      </c>
      <c r="P82" s="202">
        <f>'DATA Growth'!T133</f>
        <v>22198.604165344284</v>
      </c>
      <c r="Q82" s="202">
        <f>'DATA Growth'!U133</f>
        <v>30054.88805562487</v>
      </c>
      <c r="R82" s="202">
        <f>'DATA Growth'!V133</f>
        <v>40860.09641159456</v>
      </c>
      <c r="S82" s="259">
        <f>'DATA Growth'!W133</f>
        <v>55764.83604479661</v>
      </c>
    </row>
    <row r="83" spans="1:19" s="143" customFormat="1" ht="15" customHeight="1">
      <c r="A83" s="155" t="s">
        <v>167</v>
      </c>
      <c r="B83" s="159">
        <f>'DATA Growth'!F134</f>
        <v>698.0325120000001</v>
      </c>
      <c r="C83" s="160">
        <f>'DATA Growth'!G134</f>
        <v>1008.032</v>
      </c>
      <c r="D83" s="160">
        <f>'DATA Growth'!H134</f>
        <v>1598.0000000000002</v>
      </c>
      <c r="E83" s="160">
        <f>'DATA Growth'!I134</f>
        <v>2652</v>
      </c>
      <c r="F83" s="160">
        <f>'DATA Growth'!J134</f>
        <v>3800.9790000000003</v>
      </c>
      <c r="G83" s="160">
        <f>'DATA Growth'!K134</f>
        <v>5189.213484</v>
      </c>
      <c r="H83" s="160">
        <f>'DATA Growth'!L134</f>
        <v>6755.416529588999</v>
      </c>
      <c r="I83" s="160">
        <f>'DATA Growth'!M134</f>
        <v>9052.258149649258</v>
      </c>
      <c r="J83" s="160">
        <f>'DATA Growth'!N134</f>
        <v>12130.025920530006</v>
      </c>
      <c r="K83" s="160">
        <f>'DATA Growth'!O134</f>
        <v>16254.23473351021</v>
      </c>
      <c r="L83" s="161">
        <f>'DATA Growth'!P134</f>
        <v>21780.674542903682</v>
      </c>
      <c r="M83" s="159">
        <f>'DATA Growth'!Q134</f>
        <v>29186.103887490935</v>
      </c>
      <c r="N83" s="161">
        <f>'DATA Growth'!R134</f>
        <v>39109.37920923786</v>
      </c>
      <c r="O83" s="159">
        <f>'DATA Growth'!S134</f>
        <v>52406.56814037873</v>
      </c>
      <c r="P83" s="160">
        <f>'DATA Growth'!T134</f>
        <v>70224.8013081075</v>
      </c>
      <c r="Q83" s="160">
        <f>'DATA Growth'!U134</f>
        <v>94101.23375286406</v>
      </c>
      <c r="R83" s="160">
        <f>'DATA Growth'!V134</f>
        <v>126095.65322883785</v>
      </c>
      <c r="S83" s="161">
        <f>'DATA Growth'!W134</f>
        <v>168968.17532664273</v>
      </c>
    </row>
    <row r="84" spans="1:19" s="143" customFormat="1" ht="15" customHeight="1">
      <c r="A84" s="155" t="s">
        <v>168</v>
      </c>
      <c r="B84" s="159">
        <f>'DATA Growth'!F135</f>
        <v>2001.9674879999998</v>
      </c>
      <c r="C84" s="160">
        <f>'DATA Growth'!G135</f>
        <v>2391.968</v>
      </c>
      <c r="D84" s="160">
        <f>'DATA Growth'!H135</f>
        <v>3102</v>
      </c>
      <c r="E84" s="160">
        <f>'DATA Growth'!I135</f>
        <v>4148</v>
      </c>
      <c r="F84" s="160">
        <f>'DATA Growth'!J135</f>
        <v>5299.021</v>
      </c>
      <c r="G84" s="160">
        <f>'DATA Growth'!K135</f>
        <v>6410.786516</v>
      </c>
      <c r="H84" s="160">
        <f>'DATA Growth'!L135</f>
        <v>7344.583470411001</v>
      </c>
      <c r="I84" s="160">
        <f>'DATA Growth'!M135</f>
        <v>8519.71682567676</v>
      </c>
      <c r="J84" s="160">
        <f>'DATA Growth'!N135</f>
        <v>9882.87151778504</v>
      </c>
      <c r="K84" s="160">
        <f>'DATA Growth'!O135</f>
        <v>11464.130960630646</v>
      </c>
      <c r="L84" s="161">
        <f>'DATA Growth'!P135</f>
        <v>13298.391914331549</v>
      </c>
      <c r="M84" s="159">
        <f>'DATA Growth'!Q135</f>
        <v>15426.134620624596</v>
      </c>
      <c r="N84" s="161">
        <f>'DATA Growth'!R135</f>
        <v>17894.31615992453</v>
      </c>
      <c r="O84" s="159">
        <f>'DATA Growth'!S135</f>
        <v>20757.406745512453</v>
      </c>
      <c r="P84" s="160">
        <f>'DATA Growth'!T135</f>
        <v>24078.591824794443</v>
      </c>
      <c r="Q84" s="160">
        <f>'DATA Growth'!U135</f>
        <v>27931.16651676155</v>
      </c>
      <c r="R84" s="160">
        <f>'DATA Growth'!V135</f>
        <v>32400.153159443395</v>
      </c>
      <c r="S84" s="161">
        <f>'DATA Growth'!W135</f>
        <v>37584.17766495433</v>
      </c>
    </row>
    <row r="85" spans="1:19" s="143" customFormat="1" ht="15" customHeight="1">
      <c r="A85" s="197" t="s">
        <v>169</v>
      </c>
      <c r="B85" s="201">
        <f>'DATA Growth'!F136</f>
        <v>2700</v>
      </c>
      <c r="C85" s="202">
        <f>'DATA Growth'!G136</f>
        <v>3400</v>
      </c>
      <c r="D85" s="202">
        <f>'DATA Growth'!H136</f>
        <v>4700</v>
      </c>
      <c r="E85" s="202">
        <f>'DATA Growth'!I136</f>
        <v>6800</v>
      </c>
      <c r="F85" s="202">
        <f>'DATA Growth'!J136</f>
        <v>9100</v>
      </c>
      <c r="G85" s="202">
        <f>'DATA Growth'!K136</f>
        <v>11600</v>
      </c>
      <c r="H85" s="202">
        <f>'DATA Growth'!L136</f>
        <v>14100</v>
      </c>
      <c r="I85" s="202">
        <f>'DATA Growth'!M136</f>
        <v>17571.97497532602</v>
      </c>
      <c r="J85" s="202">
        <f>'DATA Growth'!N136</f>
        <v>22012.89743831505</v>
      </c>
      <c r="K85" s="202">
        <f>'DATA Growth'!O136</f>
        <v>27718.365694140855</v>
      </c>
      <c r="L85" s="259">
        <f>'DATA Growth'!P136</f>
        <v>35079.06645723523</v>
      </c>
      <c r="M85" s="201">
        <f>'DATA Growth'!Q136</f>
        <v>44612.23850811553</v>
      </c>
      <c r="N85" s="259">
        <f>'DATA Growth'!R136</f>
        <v>57003.695369162386</v>
      </c>
      <c r="O85" s="201">
        <f>'DATA Growth'!S136</f>
        <v>73163.97488589119</v>
      </c>
      <c r="P85" s="202">
        <f>'DATA Growth'!T136</f>
        <v>94303.39313290195</v>
      </c>
      <c r="Q85" s="202">
        <f>'DATA Growth'!U136</f>
        <v>122032.40026962562</v>
      </c>
      <c r="R85" s="202">
        <f>'DATA Growth'!V136</f>
        <v>158495.80638828126</v>
      </c>
      <c r="S85" s="259">
        <f>'DATA Growth'!W136</f>
        <v>206552.35299159706</v>
      </c>
    </row>
    <row r="86" spans="1:14" s="143" customFormat="1" ht="15" customHeight="1">
      <c r="A86" s="236"/>
      <c r="B86" s="238"/>
      <c r="C86" s="238"/>
      <c r="D86" s="238"/>
      <c r="E86" s="238"/>
      <c r="F86" s="238"/>
      <c r="G86" s="238"/>
      <c r="H86" s="387"/>
      <c r="I86" s="238"/>
      <c r="J86" s="238"/>
      <c r="K86" s="238"/>
      <c r="L86" s="238"/>
      <c r="M86" s="238"/>
      <c r="N86" s="238"/>
    </row>
    <row r="87" spans="1:19" s="143" customFormat="1" ht="30" customHeight="1">
      <c r="A87" s="151" t="s">
        <v>331</v>
      </c>
      <c r="B87" s="153">
        <v>2013</v>
      </c>
      <c r="C87" s="152">
        <v>2014</v>
      </c>
      <c r="D87" s="152">
        <v>2015</v>
      </c>
      <c r="E87" s="152">
        <v>2016</v>
      </c>
      <c r="F87" s="152">
        <v>2017</v>
      </c>
      <c r="G87" s="152">
        <v>2018</v>
      </c>
      <c r="H87" s="386">
        <v>2019</v>
      </c>
      <c r="I87" s="152">
        <v>2020</v>
      </c>
      <c r="J87" s="152">
        <v>2021</v>
      </c>
      <c r="K87" s="152">
        <v>2022</v>
      </c>
      <c r="L87" s="154">
        <v>2023</v>
      </c>
      <c r="M87" s="153">
        <v>2024</v>
      </c>
      <c r="N87" s="154">
        <v>2025</v>
      </c>
      <c r="O87" s="153">
        <v>2026</v>
      </c>
      <c r="P87" s="152">
        <v>2027</v>
      </c>
      <c r="Q87" s="152">
        <v>2028</v>
      </c>
      <c r="R87" s="152">
        <v>2029</v>
      </c>
      <c r="S87" s="154">
        <v>2030</v>
      </c>
    </row>
    <row r="88" spans="1:19" s="143" customFormat="1" ht="15" customHeight="1">
      <c r="A88" s="272" t="s">
        <v>158</v>
      </c>
      <c r="B88" s="162">
        <f>'DATA Growth'!F140*B78</f>
        <v>134.79379753086425</v>
      </c>
      <c r="C88" s="163">
        <f>'DATA Growth'!G140*C78</f>
        <v>114.68800000000003</v>
      </c>
      <c r="D88" s="163">
        <f>'DATA Growth'!H140*D78</f>
        <v>112.05149425287358</v>
      </c>
      <c r="E88" s="163">
        <f>'DATA Growth'!I140*E78</f>
        <v>97.4848</v>
      </c>
      <c r="F88" s="163">
        <f>'DATA Growth'!J140*F78</f>
        <v>87.36000000000001</v>
      </c>
      <c r="G88" s="163">
        <f>'DATA Growth'!K140*G78</f>
        <v>75.348</v>
      </c>
      <c r="H88" s="163">
        <f>'DATA Growth'!L140*H78</f>
        <v>64.98765</v>
      </c>
      <c r="I88" s="163">
        <f>'DATA Growth'!M140*I78</f>
        <v>59.81463306</v>
      </c>
      <c r="J88" s="163">
        <f>'DATA Growth'!N140*J78</f>
        <v>55.053388268424</v>
      </c>
      <c r="K88" s="163">
        <f>'DATA Growth'!O140*K78</f>
        <v>50.671138562257454</v>
      </c>
      <c r="L88" s="164">
        <f>'DATA Growth'!P140*L78</f>
        <v>46.63771593270176</v>
      </c>
      <c r="M88" s="162">
        <f>'DATA Growth'!Q140*M78</f>
        <v>42.925353744458704</v>
      </c>
      <c r="N88" s="164">
        <f>'DATA Growth'!R140*N78</f>
        <v>39.50849558639979</v>
      </c>
      <c r="O88" s="162">
        <f>'DATA Growth'!S140*O78</f>
        <v>38.228420329400436</v>
      </c>
      <c r="P88" s="163">
        <f>'DATA Growth'!T140*P78</f>
        <v>36.98981951072787</v>
      </c>
      <c r="Q88" s="163">
        <f>'DATA Growth'!U140*Q78</f>
        <v>35.791349358580284</v>
      </c>
      <c r="R88" s="163">
        <f>'DATA Growth'!V140*R78</f>
        <v>34.631709639362285</v>
      </c>
      <c r="S88" s="164">
        <f>'DATA Growth'!W140*S78</f>
        <v>33.50964224704695</v>
      </c>
    </row>
    <row r="89" spans="1:19" s="143" customFormat="1" ht="15" customHeight="1">
      <c r="A89" s="155" t="s">
        <v>161</v>
      </c>
      <c r="B89" s="159">
        <f>'DATA Growth'!F141*B79</f>
        <v>98.68831604938273</v>
      </c>
      <c r="C89" s="160">
        <f>'DATA Growth'!G141*C79</f>
        <v>89.20177777777779</v>
      </c>
      <c r="D89" s="160">
        <f>'DATA Growth'!H141*D79</f>
        <v>89.20177777777779</v>
      </c>
      <c r="E89" s="160">
        <f>'DATA Growth'!I141*E79</f>
        <v>80.28160000000001</v>
      </c>
      <c r="F89" s="160">
        <f>'DATA Growth'!J141*F79</f>
        <v>78.27555555555556</v>
      </c>
      <c r="G89" s="160">
        <f>'DATA Growth'!K141*G79</f>
        <v>76.90573333333334</v>
      </c>
      <c r="H89" s="160">
        <f>'DATA Growth'!L141*H79</f>
        <v>75.55988300000001</v>
      </c>
      <c r="I89" s="160">
        <f>'DATA Growth'!M141*I79</f>
        <v>79.56455679900003</v>
      </c>
      <c r="J89" s="160">
        <f>'DATA Growth'!N141*J79</f>
        <v>83.78147830934704</v>
      </c>
      <c r="K89" s="160">
        <f>'DATA Growth'!O141*K79</f>
        <v>88.22189665974244</v>
      </c>
      <c r="L89" s="161">
        <f>'DATA Growth'!P141*L79</f>
        <v>92.8976571827088</v>
      </c>
      <c r="M89" s="159">
        <f>'DATA Growth'!Q141*M79</f>
        <v>97.82123301339237</v>
      </c>
      <c r="N89" s="161">
        <f>'DATA Growth'!R141*N79</f>
        <v>103.00575836310217</v>
      </c>
      <c r="O89" s="159">
        <f>'DATA Growth'!S141*O79</f>
        <v>114.02737450795414</v>
      </c>
      <c r="P89" s="160">
        <f>'DATA Growth'!T141*P79</f>
        <v>126.22830358030525</v>
      </c>
      <c r="Q89" s="160">
        <f>'DATA Growth'!U141*Q79</f>
        <v>139.73473206339793</v>
      </c>
      <c r="R89" s="160">
        <f>'DATA Growth'!V141*R79</f>
        <v>154.68634839418152</v>
      </c>
      <c r="S89" s="161">
        <f>'DATA Growth'!W141*S79</f>
        <v>171.237787672359</v>
      </c>
    </row>
    <row r="90" spans="1:19" s="143" customFormat="1" ht="15" customHeight="1">
      <c r="A90" s="178" t="s">
        <v>165</v>
      </c>
      <c r="B90" s="159">
        <f>'DATA Growth'!F142*B81</f>
        <v>36.62109374999998</v>
      </c>
      <c r="C90" s="160">
        <f>'DATA Growth'!G142*C81</f>
        <v>52.73437499999989</v>
      </c>
      <c r="D90" s="160">
        <f>'DATA Growth'!H142*D81</f>
        <v>86.28531678082189</v>
      </c>
      <c r="E90" s="160">
        <f>'DATA Growth'!I142*E81</f>
        <v>100.78124999999996</v>
      </c>
      <c r="F90" s="160">
        <f>'DATA Growth'!J142*F81</f>
        <v>124.68749999999997</v>
      </c>
      <c r="G90" s="160">
        <f>'DATA Growth'!K142*G81</f>
        <v>170.99999999999997</v>
      </c>
      <c r="H90" s="160">
        <f>'DATA Growth'!L142*H81</f>
        <v>208.79999999999998</v>
      </c>
      <c r="I90" s="160">
        <f>'DATA Growth'!M142*I81</f>
        <v>242.20799999999997</v>
      </c>
      <c r="J90" s="160">
        <f>'DATA Growth'!N142*J81</f>
        <v>280.96128</v>
      </c>
      <c r="K90" s="160">
        <f>'DATA Growth'!O142*K81</f>
        <v>325.9150848</v>
      </c>
      <c r="L90" s="161">
        <f>'DATA Growth'!P142*L81</f>
        <v>378.061498368</v>
      </c>
      <c r="M90" s="159">
        <f>'DATA Growth'!Q142*M81</f>
        <v>438.55133810688005</v>
      </c>
      <c r="N90" s="161">
        <f>'DATA Growth'!R142*N81</f>
        <v>508.7195522039809</v>
      </c>
      <c r="O90" s="159">
        <f>'DATA Growth'!S142*O81</f>
        <v>575.3618135427024</v>
      </c>
      <c r="P90" s="160">
        <f>'DATA Growth'!T142*P81</f>
        <v>650.7342111167966</v>
      </c>
      <c r="Q90" s="160">
        <f>'DATA Growth'!U142*Q81</f>
        <v>735.9803927730969</v>
      </c>
      <c r="R90" s="160">
        <f>'DATA Growth'!V142*R81</f>
        <v>832.3938242263727</v>
      </c>
      <c r="S90" s="161">
        <f>'DATA Growth'!W142*S81</f>
        <v>941.4374152000274</v>
      </c>
    </row>
    <row r="91" spans="1:19" s="143" customFormat="1" ht="15" customHeight="1">
      <c r="A91" s="197" t="s">
        <v>166</v>
      </c>
      <c r="B91" s="201">
        <f>SUM(B88:B90)</f>
        <v>270.10320733024696</v>
      </c>
      <c r="C91" s="202">
        <f aca="true" t="shared" si="17" ref="C91:S91">SUM(C88:C90)</f>
        <v>256.62415277777774</v>
      </c>
      <c r="D91" s="202">
        <f t="shared" si="17"/>
        <v>287.53858881147323</v>
      </c>
      <c r="E91" s="202">
        <f t="shared" si="17"/>
        <v>278.54765</v>
      </c>
      <c r="F91" s="202">
        <f t="shared" si="17"/>
        <v>290.3230555555556</v>
      </c>
      <c r="G91" s="202">
        <f t="shared" si="17"/>
        <v>323.25373333333334</v>
      </c>
      <c r="H91" s="202">
        <f t="shared" si="17"/>
        <v>349.347533</v>
      </c>
      <c r="I91" s="202">
        <f t="shared" si="17"/>
        <v>381.587189859</v>
      </c>
      <c r="J91" s="202">
        <f t="shared" si="17"/>
        <v>419.796146577771</v>
      </c>
      <c r="K91" s="202">
        <f t="shared" si="17"/>
        <v>464.8081200219999</v>
      </c>
      <c r="L91" s="259">
        <f t="shared" si="17"/>
        <v>517.5968714834105</v>
      </c>
      <c r="M91" s="201">
        <f t="shared" si="17"/>
        <v>579.2979248647312</v>
      </c>
      <c r="N91" s="259">
        <f t="shared" si="17"/>
        <v>651.2338061534829</v>
      </c>
      <c r="O91" s="201">
        <f t="shared" si="17"/>
        <v>727.6176083800569</v>
      </c>
      <c r="P91" s="202">
        <f t="shared" si="17"/>
        <v>813.9523342078297</v>
      </c>
      <c r="Q91" s="202">
        <f t="shared" si="17"/>
        <v>911.5064741950752</v>
      </c>
      <c r="R91" s="202">
        <f t="shared" si="17"/>
        <v>1021.7118822599165</v>
      </c>
      <c r="S91" s="259">
        <f t="shared" si="17"/>
        <v>1146.1848451194332</v>
      </c>
    </row>
    <row r="92" spans="1:19" s="143" customFormat="1" ht="15" customHeight="1">
      <c r="A92" s="155" t="s">
        <v>167</v>
      </c>
      <c r="B92" s="159">
        <f>'DATA Growth'!F143*B83</f>
        <v>16.74146559388677</v>
      </c>
      <c r="C92" s="160">
        <f>'DATA Growth'!G143*C83</f>
        <v>21.033492705877105</v>
      </c>
      <c r="D92" s="160">
        <f>'DATA Growth'!H143*D83</f>
        <v>29.009023095767503</v>
      </c>
      <c r="E92" s="160">
        <f>'DATA Growth'!I143*E83</f>
        <v>41.88409164422941</v>
      </c>
      <c r="F92" s="160">
        <f>'DATA Growth'!J143*F83</f>
        <v>52.22642568370987</v>
      </c>
      <c r="G92" s="160">
        <f>'DATA Growth'!K143*G83</f>
        <v>62.03197727999999</v>
      </c>
      <c r="H92" s="160">
        <f>'DATA Growth'!L143*H83</f>
        <v>70.25633190772558</v>
      </c>
      <c r="I92" s="160">
        <f>'DATA Growth'!M143*I83</f>
        <v>83.78770143315354</v>
      </c>
      <c r="J92" s="160">
        <f>'DATA Growth'!N143*J83</f>
        <v>99.92521272917891</v>
      </c>
      <c r="K92" s="160">
        <f>'DATA Growth'!O143*K83</f>
        <v>119.17080870081878</v>
      </c>
      <c r="L92" s="161">
        <f>'DATA Growth'!P143*L83</f>
        <v>142.12310645659647</v>
      </c>
      <c r="M92" s="159">
        <f>'DATA Growth'!Q143*M83</f>
        <v>169.49601676013697</v>
      </c>
      <c r="N92" s="161">
        <f>'DATA Growth'!R143*N83</f>
        <v>202.14094958813936</v>
      </c>
      <c r="O92" s="159">
        <f>'DATA Growth'!S143*O83</f>
        <v>241.07329647881505</v>
      </c>
      <c r="P92" s="160">
        <f>'DATA Growth'!T143*P83</f>
        <v>287.50401338063483</v>
      </c>
      <c r="Q92" s="160">
        <f>'DATA Growth'!U143*Q83</f>
        <v>342.87728635774516</v>
      </c>
      <c r="R92" s="160">
        <f>'DATA Growth'!V143*R83</f>
        <v>408.9154517102469</v>
      </c>
      <c r="S92" s="161">
        <f>'DATA Growth'!W143*S83</f>
        <v>487.6725677096404</v>
      </c>
    </row>
    <row r="93" spans="1:19" ht="15" customHeight="1">
      <c r="A93" s="155" t="s">
        <v>171</v>
      </c>
      <c r="B93" s="159">
        <f>'DATA Growth'!F144*B84</f>
        <v>205.62663399216675</v>
      </c>
      <c r="C93" s="160">
        <f>'DATA Growth'!G144*C84</f>
        <v>216.2023367694861</v>
      </c>
      <c r="D93" s="160">
        <f>'DATA Growth'!H144*D84</f>
        <v>246.73427521600303</v>
      </c>
      <c r="E93" s="160">
        <f>'DATA Growth'!I144*E84</f>
        <v>290.3414960555973</v>
      </c>
      <c r="F93" s="160">
        <f>'DATA Growth'!J144*F84</f>
        <v>326.39889165805783</v>
      </c>
      <c r="G93" s="160">
        <f>'DATA Growth'!K144*G84</f>
        <v>347.4937691059091</v>
      </c>
      <c r="H93" s="160">
        <f>'DATA Growth'!L144*H84</f>
        <v>350.33663153860476</v>
      </c>
      <c r="I93" s="160">
        <f>'DATA Growth'!M144*I84</f>
        <v>365.75144332630333</v>
      </c>
      <c r="J93" s="160">
        <f>'DATA Growth'!N144*J84</f>
        <v>381.84450683266067</v>
      </c>
      <c r="K93" s="160">
        <f>'DATA Growth'!O144*K84</f>
        <v>398.6456651332977</v>
      </c>
      <c r="L93" s="161">
        <f>'DATA Growth'!P144*L84</f>
        <v>416.1860743991628</v>
      </c>
      <c r="M93" s="159">
        <f>'DATA Growth'!Q144*M84</f>
        <v>434.49826167272596</v>
      </c>
      <c r="N93" s="161">
        <f>'DATA Growth'!R144*N84</f>
        <v>453.6161851863258</v>
      </c>
      <c r="O93" s="159">
        <f>'DATA Growth'!S144*O84</f>
        <v>473.5752973345241</v>
      </c>
      <c r="P93" s="160">
        <f>'DATA Growth'!T144*P84</f>
        <v>494.4126104172431</v>
      </c>
      <c r="Q93" s="160">
        <f>'DATA Growth'!U144*Q84</f>
        <v>516.1667652756018</v>
      </c>
      <c r="R93" s="160">
        <f>'DATA Growth'!V144*R84</f>
        <v>538.8781029477283</v>
      </c>
      <c r="S93" s="161">
        <f>'DATA Growth'!W144*S84</f>
        <v>562.5887394774282</v>
      </c>
    </row>
    <row r="94" spans="1:19" ht="15" customHeight="1">
      <c r="A94" s="197" t="s">
        <v>169</v>
      </c>
      <c r="B94" s="201">
        <f aca="true" t="shared" si="18" ref="B94:S94">SUM(B92:B93)</f>
        <v>222.36809958605352</v>
      </c>
      <c r="C94" s="202">
        <f t="shared" si="18"/>
        <v>237.2358294753632</v>
      </c>
      <c r="D94" s="202">
        <f t="shared" si="18"/>
        <v>275.74329831177056</v>
      </c>
      <c r="E94" s="202">
        <f t="shared" si="18"/>
        <v>332.2255876998267</v>
      </c>
      <c r="F94" s="202">
        <f t="shared" si="18"/>
        <v>378.6253173417677</v>
      </c>
      <c r="G94" s="202">
        <f t="shared" si="18"/>
        <v>409.5257463859091</v>
      </c>
      <c r="H94" s="202">
        <f t="shared" si="18"/>
        <v>420.5929634463304</v>
      </c>
      <c r="I94" s="202">
        <f t="shared" si="18"/>
        <v>449.53914475945686</v>
      </c>
      <c r="J94" s="202">
        <f t="shared" si="18"/>
        <v>481.76971956183957</v>
      </c>
      <c r="K94" s="202">
        <f t="shared" si="18"/>
        <v>517.8164738341166</v>
      </c>
      <c r="L94" s="259">
        <f t="shared" si="18"/>
        <v>558.3091808557592</v>
      </c>
      <c r="M94" s="201">
        <f t="shared" si="18"/>
        <v>603.994278432863</v>
      </c>
      <c r="N94" s="259">
        <f t="shared" si="18"/>
        <v>655.7571347744652</v>
      </c>
      <c r="O94" s="201">
        <f t="shared" si="18"/>
        <v>714.6485938133392</v>
      </c>
      <c r="P94" s="202">
        <f t="shared" si="18"/>
        <v>781.916623797878</v>
      </c>
      <c r="Q94" s="202">
        <f t="shared" si="18"/>
        <v>859.044051633347</v>
      </c>
      <c r="R94" s="202">
        <f t="shared" si="18"/>
        <v>947.7935546579752</v>
      </c>
      <c r="S94" s="259">
        <f t="shared" si="18"/>
        <v>1050.2613071870687</v>
      </c>
    </row>
    <row r="95" spans="8:24" s="143" customFormat="1" ht="15" customHeight="1">
      <c r="H95" s="388"/>
      <c r="P95" s="377"/>
      <c r="Q95" s="377"/>
      <c r="R95" s="377"/>
      <c r="S95" s="389"/>
      <c r="U95" s="389"/>
      <c r="X95" s="251"/>
    </row>
    <row r="96" spans="1:18" s="143" customFormat="1" ht="15" customHeight="1">
      <c r="A96" s="329"/>
      <c r="H96" s="388"/>
      <c r="O96" s="389"/>
      <c r="P96" s="389"/>
      <c r="Q96" s="389"/>
      <c r="R96" s="389"/>
    </row>
    <row r="97" spans="1:18" s="143" customFormat="1" ht="15" customHeight="1">
      <c r="A97" s="329"/>
      <c r="H97" s="388"/>
      <c r="O97" s="389"/>
      <c r="P97" s="389"/>
      <c r="Q97" s="389"/>
      <c r="R97" s="389"/>
    </row>
    <row r="98" spans="1:19" s="143" customFormat="1" ht="30" customHeight="1">
      <c r="A98" s="390" t="s">
        <v>2</v>
      </c>
      <c r="B98" s="391"/>
      <c r="C98" s="391"/>
      <c r="D98" s="391"/>
      <c r="E98" s="391"/>
      <c r="F98" s="391"/>
      <c r="G98" s="391"/>
      <c r="H98" s="391"/>
      <c r="I98" s="391"/>
      <c r="J98" s="391"/>
      <c r="K98" s="391"/>
      <c r="L98" s="391"/>
      <c r="M98" s="391"/>
      <c r="N98" s="391"/>
      <c r="O98" s="391"/>
      <c r="P98" s="391"/>
      <c r="Q98" s="391"/>
      <c r="R98" s="391"/>
      <c r="S98" s="392"/>
    </row>
    <row r="99" spans="1:19" s="143" customFormat="1" ht="30" customHeight="1">
      <c r="A99" s="393" t="s">
        <v>332</v>
      </c>
      <c r="B99" s="269">
        <v>2013</v>
      </c>
      <c r="C99" s="271">
        <v>2014</v>
      </c>
      <c r="D99" s="271">
        <v>2015</v>
      </c>
      <c r="E99" s="271">
        <v>2016</v>
      </c>
      <c r="F99" s="271">
        <v>2017</v>
      </c>
      <c r="G99" s="271">
        <v>2018</v>
      </c>
      <c r="H99" s="394">
        <v>2019</v>
      </c>
      <c r="I99" s="271">
        <v>2020</v>
      </c>
      <c r="J99" s="271">
        <v>2021</v>
      </c>
      <c r="K99" s="271">
        <v>2022</v>
      </c>
      <c r="L99" s="270">
        <v>2023</v>
      </c>
      <c r="M99" s="269">
        <v>2024</v>
      </c>
      <c r="N99" s="270">
        <v>2025</v>
      </c>
      <c r="O99" s="153">
        <v>2026</v>
      </c>
      <c r="P99" s="152">
        <v>2027</v>
      </c>
      <c r="Q99" s="152">
        <v>2028</v>
      </c>
      <c r="R99" s="152">
        <v>2029</v>
      </c>
      <c r="S99" s="154">
        <v>2030</v>
      </c>
    </row>
    <row r="100" spans="1:19" s="143" customFormat="1" ht="15" customHeight="1">
      <c r="A100" s="395" t="s">
        <v>333</v>
      </c>
      <c r="B100" s="159">
        <f>B74</f>
        <v>968.5805814938881</v>
      </c>
      <c r="C100" s="160">
        <f aca="true" t="shared" si="19" ref="C100:R100">C74</f>
        <v>986.0228772492006</v>
      </c>
      <c r="D100" s="160">
        <f t="shared" si="19"/>
        <v>1007.820057880764</v>
      </c>
      <c r="E100" s="160">
        <f t="shared" si="19"/>
        <v>1034.852713967025</v>
      </c>
      <c r="F100" s="160">
        <f t="shared" si="19"/>
        <v>1068.2900531365021</v>
      </c>
      <c r="G100" s="160">
        <f t="shared" si="19"/>
        <v>1109.7189560075742</v>
      </c>
      <c r="H100" s="160">
        <f t="shared" si="19"/>
        <v>1161.3536</v>
      </c>
      <c r="I100" s="160">
        <f t="shared" si="19"/>
        <v>1246.3554702499998</v>
      </c>
      <c r="J100" s="160">
        <f t="shared" si="19"/>
        <v>1338.7700701625372</v>
      </c>
      <c r="K100" s="160">
        <f t="shared" si="19"/>
        <v>1454.6966360717952</v>
      </c>
      <c r="L100" s="161">
        <f t="shared" si="19"/>
        <v>1601.3604045146408</v>
      </c>
      <c r="M100" s="159">
        <f t="shared" si="19"/>
        <v>1767.6062881904513</v>
      </c>
      <c r="N100" s="161">
        <f t="shared" si="19"/>
        <v>1972.2218132175963</v>
      </c>
      <c r="O100" s="159">
        <f t="shared" si="19"/>
        <v>2192.2080826075908</v>
      </c>
      <c r="P100" s="160">
        <f t="shared" si="19"/>
        <v>2454.871110126458</v>
      </c>
      <c r="Q100" s="160">
        <f t="shared" si="19"/>
        <v>2769.577926888459</v>
      </c>
      <c r="R100" s="160">
        <f t="shared" si="19"/>
        <v>3147.872623129869</v>
      </c>
      <c r="S100" s="161">
        <f>S74</f>
        <v>3604.011081094608</v>
      </c>
    </row>
    <row r="101" spans="1:19" s="143" customFormat="1" ht="15" customHeight="1">
      <c r="A101" s="395" t="s">
        <v>172</v>
      </c>
      <c r="B101" s="159">
        <f>B91</f>
        <v>270.10320733024696</v>
      </c>
      <c r="C101" s="160">
        <f aca="true" t="shared" si="20" ref="C101:S101">C91</f>
        <v>256.62415277777774</v>
      </c>
      <c r="D101" s="160">
        <f t="shared" si="20"/>
        <v>287.53858881147323</v>
      </c>
      <c r="E101" s="160">
        <f t="shared" si="20"/>
        <v>278.54765</v>
      </c>
      <c r="F101" s="160">
        <f t="shared" si="20"/>
        <v>290.3230555555556</v>
      </c>
      <c r="G101" s="160">
        <f t="shared" si="20"/>
        <v>323.25373333333334</v>
      </c>
      <c r="H101" s="160">
        <f t="shared" si="20"/>
        <v>349.347533</v>
      </c>
      <c r="I101" s="160">
        <f t="shared" si="20"/>
        <v>381.587189859</v>
      </c>
      <c r="J101" s="160">
        <f t="shared" si="20"/>
        <v>419.796146577771</v>
      </c>
      <c r="K101" s="160">
        <f t="shared" si="20"/>
        <v>464.8081200219999</v>
      </c>
      <c r="L101" s="161">
        <f t="shared" si="20"/>
        <v>517.5968714834105</v>
      </c>
      <c r="M101" s="159">
        <f t="shared" si="20"/>
        <v>579.2979248647312</v>
      </c>
      <c r="N101" s="161">
        <f t="shared" si="20"/>
        <v>651.2338061534829</v>
      </c>
      <c r="O101" s="159">
        <f t="shared" si="20"/>
        <v>727.6176083800569</v>
      </c>
      <c r="P101" s="160">
        <f t="shared" si="20"/>
        <v>813.9523342078297</v>
      </c>
      <c r="Q101" s="160">
        <f t="shared" si="20"/>
        <v>911.5064741950752</v>
      </c>
      <c r="R101" s="160">
        <f t="shared" si="20"/>
        <v>1021.7118822599165</v>
      </c>
      <c r="S101" s="161">
        <f t="shared" si="20"/>
        <v>1146.1848451194332</v>
      </c>
    </row>
    <row r="102" spans="1:19" s="143" customFormat="1" ht="15" customHeight="1">
      <c r="A102" s="395" t="s">
        <v>327</v>
      </c>
      <c r="B102" s="159">
        <f>B94</f>
        <v>222.36809958605352</v>
      </c>
      <c r="C102" s="160">
        <f aca="true" t="shared" si="21" ref="C102:S102">C94</f>
        <v>237.2358294753632</v>
      </c>
      <c r="D102" s="160">
        <f t="shared" si="21"/>
        <v>275.74329831177056</v>
      </c>
      <c r="E102" s="160">
        <f t="shared" si="21"/>
        <v>332.2255876998267</v>
      </c>
      <c r="F102" s="160">
        <f t="shared" si="21"/>
        <v>378.6253173417677</v>
      </c>
      <c r="G102" s="160">
        <f t="shared" si="21"/>
        <v>409.5257463859091</v>
      </c>
      <c r="H102" s="160">
        <f t="shared" si="21"/>
        <v>420.5929634463304</v>
      </c>
      <c r="I102" s="160">
        <f t="shared" si="21"/>
        <v>449.53914475945686</v>
      </c>
      <c r="J102" s="160">
        <f t="shared" si="21"/>
        <v>481.76971956183957</v>
      </c>
      <c r="K102" s="160">
        <f t="shared" si="21"/>
        <v>517.8164738341166</v>
      </c>
      <c r="L102" s="161">
        <f t="shared" si="21"/>
        <v>558.3091808557592</v>
      </c>
      <c r="M102" s="159">
        <f t="shared" si="21"/>
        <v>603.994278432863</v>
      </c>
      <c r="N102" s="161">
        <f t="shared" si="21"/>
        <v>655.7571347744652</v>
      </c>
      <c r="O102" s="159">
        <f t="shared" si="21"/>
        <v>714.6485938133392</v>
      </c>
      <c r="P102" s="160">
        <f t="shared" si="21"/>
        <v>781.916623797878</v>
      </c>
      <c r="Q102" s="160">
        <f t="shared" si="21"/>
        <v>859.044051633347</v>
      </c>
      <c r="R102" s="160">
        <f t="shared" si="21"/>
        <v>947.7935546579752</v>
      </c>
      <c r="S102" s="161">
        <f t="shared" si="21"/>
        <v>1050.2613071870687</v>
      </c>
    </row>
    <row r="103" spans="1:19" ht="15" customHeight="1">
      <c r="A103" s="396" t="s">
        <v>334</v>
      </c>
      <c r="B103" s="159">
        <f>SUM(B100:B102)</f>
        <v>1461.0518884101884</v>
      </c>
      <c r="C103" s="160">
        <f aca="true" t="shared" si="22" ref="C103:R103">SUM(C100:C102)</f>
        <v>1479.8828595023417</v>
      </c>
      <c r="D103" s="160">
        <f t="shared" si="22"/>
        <v>1571.1019450040078</v>
      </c>
      <c r="E103" s="160">
        <f t="shared" si="22"/>
        <v>1645.6259516668517</v>
      </c>
      <c r="F103" s="160">
        <f t="shared" si="22"/>
        <v>1737.2384260338254</v>
      </c>
      <c r="G103" s="160">
        <f t="shared" si="22"/>
        <v>1842.4984357268165</v>
      </c>
      <c r="H103" s="160">
        <f t="shared" si="22"/>
        <v>1931.2940964463305</v>
      </c>
      <c r="I103" s="160">
        <f t="shared" si="22"/>
        <v>2077.481804868457</v>
      </c>
      <c r="J103" s="160">
        <f t="shared" si="22"/>
        <v>2240.3359363021477</v>
      </c>
      <c r="K103" s="160">
        <f t="shared" si="22"/>
        <v>2437.3212299279116</v>
      </c>
      <c r="L103" s="161">
        <f t="shared" si="22"/>
        <v>2677.2664568538103</v>
      </c>
      <c r="M103" s="159">
        <f t="shared" si="22"/>
        <v>2950.8984914880457</v>
      </c>
      <c r="N103" s="161">
        <f t="shared" si="22"/>
        <v>3279.2127541455443</v>
      </c>
      <c r="O103" s="159">
        <f t="shared" si="22"/>
        <v>3634.474284800987</v>
      </c>
      <c r="P103" s="160">
        <f t="shared" si="22"/>
        <v>4050.7400681321656</v>
      </c>
      <c r="Q103" s="160">
        <f t="shared" si="22"/>
        <v>4540.128452716881</v>
      </c>
      <c r="R103" s="160">
        <f t="shared" si="22"/>
        <v>5117.37806004776</v>
      </c>
      <c r="S103" s="161">
        <f>SUM(S100:S102)</f>
        <v>5800.45723340111</v>
      </c>
    </row>
    <row r="104" spans="1:19" s="143" customFormat="1" ht="15" customHeight="1">
      <c r="A104" s="396" t="s">
        <v>335</v>
      </c>
      <c r="B104" s="397">
        <f>B103/'DATA Growth'!F15</f>
        <v>0.013634452940133051</v>
      </c>
      <c r="C104" s="398">
        <f>C103/'DATA Growth'!G15</f>
        <v>0.01366044245339128</v>
      </c>
      <c r="D104" s="398">
        <f>D103/'DATA Growth'!H15</f>
        <v>0.01434995230392677</v>
      </c>
      <c r="E104" s="398">
        <f>E103/'DATA Growth'!I15</f>
        <v>0.014841447675494479</v>
      </c>
      <c r="F104" s="398">
        <f>F103/'DATA Growth'!J15</f>
        <v>0.015372606465765562</v>
      </c>
      <c r="G104" s="398">
        <f>G103/'DATA Growth'!K15</f>
        <v>0.016094806694786735</v>
      </c>
      <c r="H104" s="398">
        <f>H103/'DATA Growth'!L15</f>
        <v>0.016653963357279283</v>
      </c>
      <c r="I104" s="398">
        <f>I103/'DATA Growth'!M15</f>
        <v>0.017684670613933653</v>
      </c>
      <c r="J104" s="398">
        <f>J103/'DATA Growth'!N15</f>
        <v>0.018826233737326593</v>
      </c>
      <c r="K104" s="398">
        <f>K103/'DATA Growth'!O15</f>
        <v>0.020218718563761544</v>
      </c>
      <c r="L104" s="399">
        <f>L103/'DATA Growth'!P15</f>
        <v>0.021924162238543213</v>
      </c>
      <c r="M104" s="397">
        <f>M103/'DATA Growth'!Q15</f>
        <v>0.02385482502719421</v>
      </c>
      <c r="N104" s="399">
        <f>N103/'DATA Growth'!R15</f>
        <v>0.02616869793168814</v>
      </c>
      <c r="O104" s="397">
        <f>O103/'DATA Growth'!S15</f>
        <v>0.0024938734134718745</v>
      </c>
      <c r="P104" s="398">
        <f>P103/'DATA Growth'!T15</f>
        <v>0.0002389942575558417</v>
      </c>
      <c r="Q104" s="398">
        <f>Q103/'DATA Growth'!U15</f>
        <v>2.3032523125893094E-05</v>
      </c>
      <c r="R104" s="398">
        <f>R103/'DATA Growth'!V15</f>
        <v>2.2322414262662416E-06</v>
      </c>
      <c r="S104" s="399">
        <f>S103/'DATA Growth'!W15</f>
        <v>2.1755855975947058E-07</v>
      </c>
    </row>
    <row r="105" spans="1:19" s="143" customFormat="1" ht="15" customHeight="1">
      <c r="A105" s="396" t="s">
        <v>336</v>
      </c>
      <c r="B105" s="397">
        <f>B103/'DATA Growth'!F8</f>
        <v>0.07497187440528472</v>
      </c>
      <c r="C105" s="398">
        <f>C103/'DATA Growth'!G8</f>
        <v>0.07444078770132503</v>
      </c>
      <c r="D105" s="398">
        <f>D103/'DATA Growth'!H8</f>
        <v>0.0777773240100994</v>
      </c>
      <c r="E105" s="398">
        <f>E103/'DATA Growth'!I8</f>
        <v>0.07900647902764664</v>
      </c>
      <c r="F105" s="398">
        <f>F103/'DATA Growth'!J8</f>
        <v>0.0812857208512926</v>
      </c>
      <c r="G105" s="398">
        <f>G103/'DATA Growth'!K8</f>
        <v>0.08443766601017491</v>
      </c>
      <c r="H105" s="398">
        <f>H103/'DATA Growth'!L8</f>
        <v>0.08668655883555128</v>
      </c>
      <c r="I105" s="398">
        <f>I103/'DATA Growth'!M8</f>
        <v>0.09133029007901564</v>
      </c>
      <c r="J105" s="398">
        <f>J103/'DATA Growth'!N8</f>
        <v>0.0964639433366044</v>
      </c>
      <c r="K105" s="398">
        <f>K103/'DATA Growth'!O8</f>
        <v>0.10278716679524294</v>
      </c>
      <c r="L105" s="399">
        <f>L103/'DATA Growth'!P8</f>
        <v>0.11058391947651071</v>
      </c>
      <c r="M105" s="397">
        <f>M103/'DATA Growth'!Q8</f>
        <v>0.11937926763374507</v>
      </c>
      <c r="N105" s="399">
        <f>N103/'DATA Growth'!R8</f>
        <v>0.12993270869710974</v>
      </c>
      <c r="O105" s="397">
        <f>O103/'DATA Growth'!S8</f>
        <v>0.14104729319290782</v>
      </c>
      <c r="P105" s="398">
        <f>P103/'DATA Growth'!T8</f>
        <v>0.1539684683319914</v>
      </c>
      <c r="Q105" s="398">
        <f>Q103/'DATA Growth'!U8</f>
        <v>0.1690206672864357</v>
      </c>
      <c r="R105" s="398">
        <f>R103/'DATA Growth'!V8</f>
        <v>0.1865921772427499</v>
      </c>
      <c r="S105" s="399">
        <f>S103/'DATA Growth'!W8</f>
        <v>0.20714879745227935</v>
      </c>
    </row>
    <row r="106" spans="1:19" s="143" customFormat="1" ht="15" customHeight="1">
      <c r="A106" s="400" t="s">
        <v>337</v>
      </c>
      <c r="B106" s="219">
        <f>3*B103</f>
        <v>4383.155665230565</v>
      </c>
      <c r="C106" s="220">
        <f aca="true" t="shared" si="23" ref="C106:S106">3*C103</f>
        <v>4439.648578507025</v>
      </c>
      <c r="D106" s="220">
        <f t="shared" si="23"/>
        <v>4713.305835012024</v>
      </c>
      <c r="E106" s="220">
        <f t="shared" si="23"/>
        <v>4936.877855000555</v>
      </c>
      <c r="F106" s="220">
        <f t="shared" si="23"/>
        <v>5211.715278101476</v>
      </c>
      <c r="G106" s="220">
        <f t="shared" si="23"/>
        <v>5527.495307180449</v>
      </c>
      <c r="H106" s="220">
        <f t="shared" si="23"/>
        <v>5793.8822893389915</v>
      </c>
      <c r="I106" s="220">
        <f t="shared" si="23"/>
        <v>6232.44541460537</v>
      </c>
      <c r="J106" s="220">
        <f t="shared" si="23"/>
        <v>6721.007808906443</v>
      </c>
      <c r="K106" s="220">
        <f t="shared" si="23"/>
        <v>7311.963689783735</v>
      </c>
      <c r="L106" s="222">
        <f t="shared" si="23"/>
        <v>8031.799370561431</v>
      </c>
      <c r="M106" s="219">
        <f t="shared" si="23"/>
        <v>8852.695474464137</v>
      </c>
      <c r="N106" s="222">
        <f t="shared" si="23"/>
        <v>9837.638262436632</v>
      </c>
      <c r="O106" s="219">
        <f t="shared" si="23"/>
        <v>10903.422854402961</v>
      </c>
      <c r="P106" s="220">
        <f t="shared" si="23"/>
        <v>12152.220204396497</v>
      </c>
      <c r="Q106" s="220">
        <f t="shared" si="23"/>
        <v>13620.385358150643</v>
      </c>
      <c r="R106" s="220">
        <f t="shared" si="23"/>
        <v>15352.13418014328</v>
      </c>
      <c r="S106" s="222">
        <f t="shared" si="23"/>
        <v>17401.37170020333</v>
      </c>
    </row>
    <row r="107" spans="1:19" s="143" customFormat="1" ht="15" customHeight="1">
      <c r="A107" s="393" t="s">
        <v>338</v>
      </c>
      <c r="B107" s="162">
        <f>B51</f>
        <v>1553.6329005772363</v>
      </c>
      <c r="C107" s="163">
        <f aca="true" t="shared" si="24" ref="C107:S107">C51</f>
        <v>1627.248964787018</v>
      </c>
      <c r="D107" s="163">
        <f t="shared" si="24"/>
        <v>1717.9783341224565</v>
      </c>
      <c r="E107" s="163">
        <f t="shared" si="24"/>
        <v>1819.7281109550383</v>
      </c>
      <c r="F107" s="163">
        <f t="shared" si="24"/>
        <v>1961.3614665469618</v>
      </c>
      <c r="G107" s="163">
        <f t="shared" si="24"/>
        <v>2103.132272211158</v>
      </c>
      <c r="H107" s="163">
        <f t="shared" si="24"/>
        <v>2250.037322956653</v>
      </c>
      <c r="I107" s="163">
        <f t="shared" si="24"/>
        <v>2349.1942303226233</v>
      </c>
      <c r="J107" s="163">
        <f t="shared" si="24"/>
        <v>2501.7331281891516</v>
      </c>
      <c r="K107" s="163">
        <f t="shared" si="24"/>
        <v>2674.867629955852</v>
      </c>
      <c r="L107" s="164">
        <f t="shared" si="24"/>
        <v>2872.830587235016</v>
      </c>
      <c r="M107" s="162">
        <f t="shared" si="24"/>
        <v>3101.390918224783</v>
      </c>
      <c r="N107" s="164">
        <f t="shared" si="24"/>
        <v>3368.6090538488565</v>
      </c>
      <c r="O107" s="162">
        <f t="shared" si="24"/>
        <v>3684.9556521449595</v>
      </c>
      <c r="P107" s="163">
        <f t="shared" si="24"/>
        <v>4068.0632884943416</v>
      </c>
      <c r="Q107" s="163">
        <f t="shared" si="24"/>
        <v>4543.716544044385</v>
      </c>
      <c r="R107" s="163">
        <f t="shared" si="24"/>
        <v>5152.110472482047</v>
      </c>
      <c r="S107" s="164">
        <f t="shared" si="24"/>
        <v>5957.395603750965</v>
      </c>
    </row>
    <row r="108" spans="1:19" s="143" customFormat="1" ht="15" customHeight="1">
      <c r="A108" s="400" t="s">
        <v>339</v>
      </c>
      <c r="B108" s="401">
        <f>B107/'DATA Growth'!F15</f>
        <v>0.014498413668396463</v>
      </c>
      <c r="C108" s="402">
        <f>C107/'DATA Growth'!G15</f>
        <v>0.01502074349877178</v>
      </c>
      <c r="D108" s="402">
        <f>D107/'DATA Growth'!H15</f>
        <v>0.01569147516635143</v>
      </c>
      <c r="E108" s="402">
        <f>E107/'DATA Growth'!I15</f>
        <v>0.016411627147110718</v>
      </c>
      <c r="F108" s="402">
        <f>F107/'DATA Growth'!J15</f>
        <v>0.017355843337623814</v>
      </c>
      <c r="G108" s="402">
        <f>G107/'DATA Growth'!K15</f>
        <v>0.018371525705775407</v>
      </c>
      <c r="H108" s="402">
        <f>H107/'DATA Growth'!L15</f>
        <v>0.019402554586575468</v>
      </c>
      <c r="I108" s="402">
        <f>I107/'DATA Growth'!M15</f>
        <v>0.0199976365973706</v>
      </c>
      <c r="J108" s="402">
        <f>J107/'DATA Growth'!N15</f>
        <v>0.021022834949227093</v>
      </c>
      <c r="K108" s="402">
        <f>K107/'DATA Growth'!O15</f>
        <v>0.02218927695755262</v>
      </c>
      <c r="L108" s="403">
        <f>L107/'DATA Growth'!P15</f>
        <v>0.023525638890798336</v>
      </c>
      <c r="M108" s="401">
        <f>M107/'DATA Growth'!Q15</f>
        <v>0.025071393647930602</v>
      </c>
      <c r="N108" s="403">
        <f>N107/'DATA Growth'!R15</f>
        <v>0.026882096219185414</v>
      </c>
      <c r="O108" s="401">
        <f>O107/'DATA Growth'!S15</f>
        <v>0.0025285122993270633</v>
      </c>
      <c r="P108" s="402">
        <f>P107/'DATA Growth'!T15</f>
        <v>0.00024001633009550073</v>
      </c>
      <c r="Q108" s="402">
        <f>Q107/'DATA Growth'!U15</f>
        <v>2.3050725870009086E-05</v>
      </c>
      <c r="R108" s="402">
        <f>R107/'DATA Growth'!V15</f>
        <v>2.2473919836337493E-06</v>
      </c>
      <c r="S108" s="403">
        <f>S107/'DATA Growth'!W15</f>
        <v>2.234448691399973E-07</v>
      </c>
    </row>
    <row r="109" spans="1:19" ht="15" customHeight="1">
      <c r="A109" s="268" t="s">
        <v>340</v>
      </c>
      <c r="B109" s="404">
        <f>B103+B107</f>
        <v>3014.684788987425</v>
      </c>
      <c r="C109" s="405">
        <f aca="true" t="shared" si="25" ref="C109:S109">C103+C107</f>
        <v>3107.1318242893594</v>
      </c>
      <c r="D109" s="405">
        <f t="shared" si="25"/>
        <v>3289.080279126464</v>
      </c>
      <c r="E109" s="405">
        <f t="shared" si="25"/>
        <v>3465.35406262189</v>
      </c>
      <c r="F109" s="405">
        <f t="shared" si="25"/>
        <v>3698.599892580787</v>
      </c>
      <c r="G109" s="405">
        <f t="shared" si="25"/>
        <v>3945.630707937975</v>
      </c>
      <c r="H109" s="405">
        <f t="shared" si="25"/>
        <v>4181.331419402984</v>
      </c>
      <c r="I109" s="405">
        <f t="shared" si="25"/>
        <v>4426.67603519108</v>
      </c>
      <c r="J109" s="405">
        <f t="shared" si="25"/>
        <v>4742.069064491299</v>
      </c>
      <c r="K109" s="405">
        <f t="shared" si="25"/>
        <v>5112.188859883763</v>
      </c>
      <c r="L109" s="406">
        <f t="shared" si="25"/>
        <v>5550.097044088827</v>
      </c>
      <c r="M109" s="404">
        <f t="shared" si="25"/>
        <v>6052.289409712828</v>
      </c>
      <c r="N109" s="406">
        <f t="shared" si="25"/>
        <v>6647.821807994401</v>
      </c>
      <c r="O109" s="404">
        <f t="shared" si="25"/>
        <v>7319.429936945946</v>
      </c>
      <c r="P109" s="405">
        <f t="shared" si="25"/>
        <v>8118.803356626508</v>
      </c>
      <c r="Q109" s="405">
        <f t="shared" si="25"/>
        <v>9083.844996761265</v>
      </c>
      <c r="R109" s="405">
        <f t="shared" si="25"/>
        <v>10269.488532529807</v>
      </c>
      <c r="S109" s="406">
        <f t="shared" si="25"/>
        <v>11757.852837152075</v>
      </c>
    </row>
    <row r="110" spans="1:19" s="143" customFormat="1" ht="15" customHeight="1">
      <c r="A110" s="407" t="s">
        <v>341</v>
      </c>
      <c r="B110" s="187">
        <f>B109/'DATA Growth'!F15</f>
        <v>0.028132866608529514</v>
      </c>
      <c r="C110" s="189">
        <f>C109/'DATA Growth'!G15</f>
        <v>0.028681185952163058</v>
      </c>
      <c r="D110" s="189">
        <f>D109/'DATA Growth'!H15</f>
        <v>0.030041427470278197</v>
      </c>
      <c r="E110" s="189">
        <f>E109/'DATA Growth'!I15</f>
        <v>0.0312530748226052</v>
      </c>
      <c r="F110" s="189">
        <f>F109/'DATA Growth'!J15</f>
        <v>0.032728449803389376</v>
      </c>
      <c r="G110" s="189">
        <f>G109/'DATA Growth'!K15</f>
        <v>0.03446633240056214</v>
      </c>
      <c r="H110" s="189">
        <f>H109/'DATA Growth'!L15</f>
        <v>0.03605651794385475</v>
      </c>
      <c r="I110" s="189">
        <f>I109/'DATA Growth'!M15</f>
        <v>0.03768230721130425</v>
      </c>
      <c r="J110" s="189">
        <f>J109/'DATA Growth'!N15</f>
        <v>0.03984906868655368</v>
      </c>
      <c r="K110" s="189">
        <f>K109/'DATA Growth'!O15</f>
        <v>0.04240799552131416</v>
      </c>
      <c r="L110" s="188">
        <f>L109/'DATA Growth'!P15</f>
        <v>0.045449801129341556</v>
      </c>
      <c r="M110" s="187">
        <f>M109/'DATA Growth'!Q15</f>
        <v>0.04892621867512481</v>
      </c>
      <c r="N110" s="188">
        <f>N109/'DATA Growth'!R15</f>
        <v>0.053050794150873555</v>
      </c>
      <c r="O110" s="187">
        <f>O109/'DATA Growth'!S15</f>
        <v>0.005022385712798937</v>
      </c>
      <c r="P110" s="189">
        <f>P109/'DATA Growth'!T15</f>
        <v>0.00047901058765134245</v>
      </c>
      <c r="Q110" s="189">
        <f>Q109/'DATA Growth'!U15</f>
        <v>4.608324899590218E-05</v>
      </c>
      <c r="R110" s="189">
        <f>R109/'DATA Growth'!V15</f>
        <v>4.479633409899991E-06</v>
      </c>
      <c r="S110" s="188">
        <f>S109/'DATA Growth'!W15</f>
        <v>4.4100342889946787E-07</v>
      </c>
    </row>
    <row r="111" spans="1:19" s="143" customFormat="1" ht="15" customHeight="1">
      <c r="A111" s="407" t="s">
        <v>342</v>
      </c>
      <c r="B111" s="408">
        <f>B106+B107</f>
        <v>5936.788565807801</v>
      </c>
      <c r="C111" s="409">
        <f aca="true" t="shared" si="26" ref="C111:S111">C106+C107</f>
        <v>6066.897543294043</v>
      </c>
      <c r="D111" s="409">
        <f t="shared" si="26"/>
        <v>6431.28416913448</v>
      </c>
      <c r="E111" s="409">
        <f t="shared" si="26"/>
        <v>6756.605965955594</v>
      </c>
      <c r="F111" s="409">
        <f t="shared" si="26"/>
        <v>7173.076744648437</v>
      </c>
      <c r="G111" s="409">
        <f t="shared" si="26"/>
        <v>7630.6275793916075</v>
      </c>
      <c r="H111" s="409">
        <f t="shared" si="26"/>
        <v>8043.919612295645</v>
      </c>
      <c r="I111" s="409">
        <f t="shared" si="26"/>
        <v>8581.639644927993</v>
      </c>
      <c r="J111" s="409">
        <f t="shared" si="26"/>
        <v>9222.740937095594</v>
      </c>
      <c r="K111" s="409">
        <f t="shared" si="26"/>
        <v>9986.831319739587</v>
      </c>
      <c r="L111" s="410">
        <f t="shared" si="26"/>
        <v>10904.629957796447</v>
      </c>
      <c r="M111" s="408">
        <f t="shared" si="26"/>
        <v>11954.08639268892</v>
      </c>
      <c r="N111" s="410">
        <f t="shared" si="26"/>
        <v>13206.24731628549</v>
      </c>
      <c r="O111" s="408">
        <f t="shared" si="26"/>
        <v>14588.37850654792</v>
      </c>
      <c r="P111" s="409">
        <f t="shared" si="26"/>
        <v>16220.283492890838</v>
      </c>
      <c r="Q111" s="409">
        <f t="shared" si="26"/>
        <v>18164.101902195027</v>
      </c>
      <c r="R111" s="409">
        <f t="shared" si="26"/>
        <v>20504.244652625326</v>
      </c>
      <c r="S111" s="410">
        <f t="shared" si="26"/>
        <v>23358.767303954293</v>
      </c>
    </row>
    <row r="112" spans="1:19" s="143" customFormat="1" ht="15" customHeight="1">
      <c r="A112" s="378" t="s">
        <v>343</v>
      </c>
      <c r="B112" s="195">
        <f>B111/'DATA Growth'!F13</f>
        <v>0.03992341990362325</v>
      </c>
      <c r="C112" s="411">
        <f>C111/'DATA Growth'!G13</f>
        <v>0.04046987643681844</v>
      </c>
      <c r="D112" s="411">
        <f>D111/'DATA Growth'!H13</f>
        <v>0.04259054630834562</v>
      </c>
      <c r="E112" s="411">
        <f>E111/'DATA Growth'!I13</f>
        <v>0.04414144394211708</v>
      </c>
      <c r="F112" s="411">
        <f>F111/'DATA Growth'!J13</f>
        <v>0.04604111525943965</v>
      </c>
      <c r="G112" s="411">
        <f>G111/'DATA Growth'!K13</f>
        <v>0.0476343775023388</v>
      </c>
      <c r="H112" s="411">
        <f>H111/'DATA Growth'!L13</f>
        <v>0.0495547411087466</v>
      </c>
      <c r="I112" s="411">
        <f>I111/'DATA Growth'!M13</f>
        <v>0.052188921050220466</v>
      </c>
      <c r="J112" s="411">
        <f>J111/'DATA Growth'!N13</f>
        <v>0.05608775461892015</v>
      </c>
      <c r="K112" s="411">
        <f>K111/'DATA Growth'!O13</f>
        <v>0.060734541748767606</v>
      </c>
      <c r="L112" s="412">
        <f>L111/'DATA Growth'!P13</f>
        <v>0.06631609989422749</v>
      </c>
      <c r="M112" s="195">
        <f>M111/'DATA Growth'!Q13</f>
        <v>0.07269833001485715</v>
      </c>
      <c r="N112" s="412">
        <f>N111/'DATA Growth'!R13</f>
        <v>0.0803132999142721</v>
      </c>
      <c r="O112" s="195">
        <f>O111/'DATA Growth'!S13</f>
        <v>0.0887186791371442</v>
      </c>
      <c r="P112" s="411">
        <f>P111/'DATA Growth'!T13</f>
        <v>0.0986430483739774</v>
      </c>
      <c r="Q112" s="411">
        <f>Q111/'DATA Growth'!U13</f>
        <v>0.11046430744526675</v>
      </c>
      <c r="R112" s="411">
        <f>R111/'DATA Growth'!V13</f>
        <v>0.12469579819781017</v>
      </c>
      <c r="S112" s="412">
        <f>S111/'DATA Growth'!W13</f>
        <v>0.14205547111000497</v>
      </c>
    </row>
    <row r="113" spans="1:19" s="143" customFormat="1" ht="15" customHeight="1">
      <c r="A113" s="413" t="s">
        <v>344</v>
      </c>
      <c r="B113" s="201">
        <f>'DATA Growth'!F19*B103</f>
        <v>905.8521708143169</v>
      </c>
      <c r="C113" s="202">
        <f>'DATA Growth'!G19*C103</f>
        <v>902.7285442964285</v>
      </c>
      <c r="D113" s="202">
        <f>'DATA Growth'!H19*D103</f>
        <v>958.3721864524448</v>
      </c>
      <c r="E113" s="202">
        <f>'DATA Growth'!I19*E103</f>
        <v>1003.8318305167795</v>
      </c>
      <c r="F113" s="202">
        <f>'DATA Growth'!J19*F103</f>
        <v>1042.3430556202952</v>
      </c>
      <c r="G113" s="202">
        <f>'DATA Growth'!K19*G103</f>
        <v>1105.49906143609</v>
      </c>
      <c r="H113" s="202">
        <f>'DATA Growth'!L19*H103</f>
        <v>1158.7764578677982</v>
      </c>
      <c r="I113" s="202">
        <f>'DATA Growth'!M19*I103</f>
        <v>1225.7142648723895</v>
      </c>
      <c r="J113" s="202">
        <f>'DATA Growth'!N19*J103</f>
        <v>1321.798202418267</v>
      </c>
      <c r="K113" s="202">
        <f>'DATA Growth'!O19*K103</f>
        <v>1413.6463133581888</v>
      </c>
      <c r="L113" s="259">
        <f>'DATA Growth'!P19*L103</f>
        <v>1526.0418804066717</v>
      </c>
      <c r="M113" s="201">
        <f>'DATA Growth'!Q19*M103</f>
        <v>1622.9941703184252</v>
      </c>
      <c r="N113" s="259">
        <f>'DATA Growth'!R19*N103</f>
        <v>1737.9827596971386</v>
      </c>
      <c r="O113" s="201">
        <f>'DATA Growth'!S19*O103</f>
        <v>1849.2205161067423</v>
      </c>
      <c r="P113" s="202">
        <f>'DATA Growth'!T19*P103</f>
        <v>1978.57588479902</v>
      </c>
      <c r="Q113" s="202">
        <f>'DATA Growth'!U19*Q103</f>
        <v>2128.9119959737486</v>
      </c>
      <c r="R113" s="202">
        <f>'DATA Growth'!V19*R103</f>
        <v>2303.60654930615</v>
      </c>
      <c r="S113" s="259">
        <f>'DATA Growth'!W19*S103</f>
        <v>2506.6532647071986</v>
      </c>
    </row>
    <row r="114" spans="1:19" s="143" customFormat="1" ht="15" customHeight="1">
      <c r="A114" s="413" t="s">
        <v>345</v>
      </c>
      <c r="B114" s="201">
        <f>B25</f>
        <v>475.9553071458097</v>
      </c>
      <c r="C114" s="202">
        <f aca="true" t="shared" si="27" ref="C114:S114">C25</f>
        <v>497.8238809335922</v>
      </c>
      <c r="D114" s="202">
        <f t="shared" si="27"/>
        <v>524.7230288628889</v>
      </c>
      <c r="E114" s="202">
        <f t="shared" si="27"/>
        <v>554.7182315197635</v>
      </c>
      <c r="F114" s="202">
        <f t="shared" si="27"/>
        <v>596.1994743269064</v>
      </c>
      <c r="G114" s="202">
        <f t="shared" si="27"/>
        <v>638.013674571089</v>
      </c>
      <c r="H114" s="202">
        <f t="shared" si="27"/>
        <v>681.3533499042373</v>
      </c>
      <c r="I114" s="202">
        <f t="shared" si="27"/>
        <v>705.4583486308386</v>
      </c>
      <c r="J114" s="202">
        <f t="shared" si="27"/>
        <v>744.422546609872</v>
      </c>
      <c r="K114" s="202">
        <f t="shared" si="27"/>
        <v>788.6117586595616</v>
      </c>
      <c r="L114" s="259">
        <f t="shared" si="27"/>
        <v>839.0905691957031</v>
      </c>
      <c r="M114" s="201">
        <f t="shared" si="27"/>
        <v>897.3150826009991</v>
      </c>
      <c r="N114" s="259">
        <f t="shared" si="27"/>
        <v>965.3241315624299</v>
      </c>
      <c r="O114" s="201">
        <f t="shared" si="27"/>
        <v>1045.7161619052522</v>
      </c>
      <c r="P114" s="202">
        <f t="shared" si="27"/>
        <v>1142.975242647928</v>
      </c>
      <c r="Q114" s="202">
        <f t="shared" si="27"/>
        <v>1263.596466661609</v>
      </c>
      <c r="R114" s="202">
        <f t="shared" si="27"/>
        <v>1417.6631576595648</v>
      </c>
      <c r="S114" s="259">
        <f t="shared" si="27"/>
        <v>1621.1789384525496</v>
      </c>
    </row>
    <row r="115" spans="1:19" ht="15" customHeight="1">
      <c r="A115" s="268" t="s">
        <v>346</v>
      </c>
      <c r="B115" s="404">
        <f>SUM(B113:B114)</f>
        <v>1381.8074779601266</v>
      </c>
      <c r="C115" s="405">
        <f aca="true" t="shared" si="28" ref="C115:S115">SUM(C113:C114)</f>
        <v>1400.5524252300206</v>
      </c>
      <c r="D115" s="405">
        <f t="shared" si="28"/>
        <v>1483.0952153153337</v>
      </c>
      <c r="E115" s="405">
        <f t="shared" si="28"/>
        <v>1558.550062036543</v>
      </c>
      <c r="F115" s="405">
        <f t="shared" si="28"/>
        <v>1638.5425299472017</v>
      </c>
      <c r="G115" s="405">
        <f t="shared" si="28"/>
        <v>1743.512736007179</v>
      </c>
      <c r="H115" s="405">
        <f t="shared" si="28"/>
        <v>1840.1298077720355</v>
      </c>
      <c r="I115" s="405">
        <f t="shared" si="28"/>
        <v>1931.1726135032281</v>
      </c>
      <c r="J115" s="405">
        <f t="shared" si="28"/>
        <v>2066.220749028139</v>
      </c>
      <c r="K115" s="405">
        <f t="shared" si="28"/>
        <v>2202.2580720177502</v>
      </c>
      <c r="L115" s="406">
        <f t="shared" si="28"/>
        <v>2365.132449602375</v>
      </c>
      <c r="M115" s="404">
        <f t="shared" si="28"/>
        <v>2520.309252919424</v>
      </c>
      <c r="N115" s="406">
        <f t="shared" si="28"/>
        <v>2703.3068912595686</v>
      </c>
      <c r="O115" s="404">
        <f t="shared" si="28"/>
        <v>2894.9366780119944</v>
      </c>
      <c r="P115" s="405">
        <f t="shared" si="28"/>
        <v>3121.551127446948</v>
      </c>
      <c r="Q115" s="405">
        <f t="shared" si="28"/>
        <v>3392.5084626353573</v>
      </c>
      <c r="R115" s="405">
        <f t="shared" si="28"/>
        <v>3721.269706965715</v>
      </c>
      <c r="S115" s="406">
        <f t="shared" si="28"/>
        <v>4127.832203159748</v>
      </c>
    </row>
    <row r="116" spans="1:19" s="143" customFormat="1" ht="15" customHeight="1">
      <c r="A116" s="378" t="s">
        <v>347</v>
      </c>
      <c r="B116" s="195">
        <f>B115/'DATA Growth'!F16</f>
        <v>0.028736039517778644</v>
      </c>
      <c r="C116" s="411">
        <f>C115/'DATA Growth'!G16</f>
        <v>0.028837484208514046</v>
      </c>
      <c r="D116" s="411">
        <f>D115/'DATA Growth'!H16</f>
        <v>0.030234699728654134</v>
      </c>
      <c r="E116" s="411">
        <f>E115/'DATA Growth'!I16</f>
        <v>0.031303387732486865</v>
      </c>
      <c r="F116" s="411">
        <f>F115/'DATA Growth'!J16</f>
        <v>0.03226473707618042</v>
      </c>
      <c r="G116" s="411">
        <f>G115/'DATA Growth'!K16</f>
        <v>0.03365854702716562</v>
      </c>
      <c r="H116" s="411">
        <f>H115/'DATA Growth'!L16</f>
        <v>0.03492993260843718</v>
      </c>
      <c r="I116" s="411">
        <f>I115/'DATA Growth'!M16</f>
        <v>0.03786612967653388</v>
      </c>
      <c r="J116" s="411">
        <f>J115/'DATA Growth'!N16</f>
        <v>0.040514132333885074</v>
      </c>
      <c r="K116" s="411">
        <f>K115/'DATA Growth'!O16</f>
        <v>0.044045161440355</v>
      </c>
      <c r="L116" s="412">
        <f>L115/'DATA Growth'!P16</f>
        <v>0.049273592700049475</v>
      </c>
      <c r="M116" s="195">
        <f>M115/'DATA Growth'!Q16</f>
        <v>0.054789331585204874</v>
      </c>
      <c r="N116" s="412">
        <f>N115/'DATA Growth'!R16</f>
        <v>0.061438792983172015</v>
      </c>
      <c r="O116" s="195">
        <f>O115/'DATA Growth'!S16</f>
        <v>0.06579401540936351</v>
      </c>
      <c r="P116" s="411">
        <f>P115/'DATA Growth'!T16</f>
        <v>0.07094434380561246</v>
      </c>
      <c r="Q116" s="411">
        <f>Q115/'DATA Growth'!U16</f>
        <v>0.07710246505989449</v>
      </c>
      <c r="R116" s="411">
        <f>R115/'DATA Growth'!V16</f>
        <v>0.08457431152194807</v>
      </c>
      <c r="S116" s="412">
        <f>S115/'DATA Growth'!W16</f>
        <v>0.09381436825363064</v>
      </c>
    </row>
    <row r="117" ht="15">
      <c r="A117" s="414"/>
    </row>
    <row r="118" spans="1:19" ht="15">
      <c r="A118" s="142" t="s">
        <v>348</v>
      </c>
      <c r="B118" s="142">
        <f>B114/(B114+B113)</f>
        <v>0.34444400883430726</v>
      </c>
      <c r="C118" s="142">
        <f aca="true" t="shared" si="29" ref="C118:S118">C114/(C114+C113)</f>
        <v>0.3554482302594505</v>
      </c>
      <c r="D118" s="142">
        <f t="shared" si="29"/>
        <v>0.35380265774191916</v>
      </c>
      <c r="E118" s="142">
        <f t="shared" si="29"/>
        <v>0.3559194183309828</v>
      </c>
      <c r="F118" s="142">
        <f t="shared" si="29"/>
        <v>0.3638596273397417</v>
      </c>
      <c r="G118" s="142">
        <f t="shared" si="29"/>
        <v>0.3659357694353326</v>
      </c>
      <c r="H118" s="142">
        <f t="shared" si="29"/>
        <v>0.37027461162057695</v>
      </c>
      <c r="I118" s="142">
        <f t="shared" si="29"/>
        <v>0.36530051415295683</v>
      </c>
      <c r="J118" s="142">
        <f t="shared" si="29"/>
        <v>0.36028219490101254</v>
      </c>
      <c r="K118" s="142">
        <f t="shared" si="29"/>
        <v>0.3580923456155257</v>
      </c>
      <c r="L118" s="142">
        <f t="shared" si="29"/>
        <v>0.3547752978218073</v>
      </c>
      <c r="M118" s="142">
        <f t="shared" si="29"/>
        <v>0.35603372148143553</v>
      </c>
      <c r="N118" s="142">
        <f t="shared" si="29"/>
        <v>0.3570901012695049</v>
      </c>
      <c r="O118" s="142">
        <f t="shared" si="29"/>
        <v>0.3612224646735156</v>
      </c>
      <c r="P118" s="142">
        <f t="shared" si="29"/>
        <v>0.3661561819692967</v>
      </c>
      <c r="Q118" s="142">
        <f t="shared" si="29"/>
        <v>0.3724667102760964</v>
      </c>
      <c r="R118" s="142">
        <f t="shared" si="29"/>
        <v>0.38096221701047106</v>
      </c>
      <c r="S118" s="142">
        <f t="shared" si="29"/>
        <v>0.39274342043544774</v>
      </c>
    </row>
    <row r="119" ht="15">
      <c r="H119" s="142"/>
    </row>
    <row r="120" spans="1:19" ht="15">
      <c r="A120" s="142" t="s">
        <v>349</v>
      </c>
      <c r="B120" s="142">
        <f>B107/B111</f>
        <v>0.26169584504410226</v>
      </c>
      <c r="C120" s="142">
        <f aca="true" t="shared" si="30" ref="C120:S120">C107/C111</f>
        <v>0.2682176438904385</v>
      </c>
      <c r="D120" s="142">
        <f t="shared" si="30"/>
        <v>0.26712835087703196</v>
      </c>
      <c r="E120" s="142">
        <f t="shared" si="30"/>
        <v>0.26932577097496496</v>
      </c>
      <c r="F120" s="142">
        <f t="shared" si="30"/>
        <v>0.2734337769368298</v>
      </c>
      <c r="G120" s="142">
        <f t="shared" si="30"/>
        <v>0.2756172084575567</v>
      </c>
      <c r="H120" s="142">
        <f t="shared" si="30"/>
        <v>0.2797190214975952</v>
      </c>
      <c r="I120" s="142">
        <f t="shared" si="30"/>
        <v>0.2737465481565714</v>
      </c>
      <c r="J120" s="142">
        <f t="shared" si="30"/>
        <v>0.27125700973847283</v>
      </c>
      <c r="K120" s="142">
        <f t="shared" si="30"/>
        <v>0.2678394722326802</v>
      </c>
      <c r="L120" s="142">
        <f t="shared" si="30"/>
        <v>0.26345053416333836</v>
      </c>
      <c r="M120" s="142">
        <f t="shared" si="30"/>
        <v>0.2594419026552781</v>
      </c>
      <c r="N120" s="142">
        <f t="shared" si="30"/>
        <v>0.2550769323920508</v>
      </c>
      <c r="O120" s="142">
        <f t="shared" si="30"/>
        <v>0.25259528675452075</v>
      </c>
      <c r="P120" s="142">
        <f t="shared" si="30"/>
        <v>0.2508009980391111</v>
      </c>
      <c r="Q120" s="142">
        <f t="shared" si="30"/>
        <v>0.2501481531269819</v>
      </c>
      <c r="R120" s="142">
        <f t="shared" si="30"/>
        <v>0.2512704349644199</v>
      </c>
      <c r="S120" s="142">
        <f t="shared" si="30"/>
        <v>0.25503895501979107</v>
      </c>
    </row>
  </sheetData>
  <mergeCells count="1">
    <mergeCell ref="A98:S98"/>
  </mergeCells>
  <conditionalFormatting sqref="B32:S50">
    <cfRule type="expression" priority="10" dxfId="0">
      <formula>MOD(ROW(),2)</formula>
    </cfRule>
  </conditionalFormatting>
  <conditionalFormatting sqref="B57:S73">
    <cfRule type="expression" priority="9" dxfId="0">
      <formula>MOD(ROW(),2)</formula>
    </cfRule>
  </conditionalFormatting>
  <conditionalFormatting sqref="B78:S85">
    <cfRule type="expression" priority="8" dxfId="0">
      <formula>MOD(ROW(),2)</formula>
    </cfRule>
  </conditionalFormatting>
  <conditionalFormatting sqref="B88:S94">
    <cfRule type="expression" priority="7" dxfId="0">
      <formula>MOD(ROW(),2)</formula>
    </cfRule>
  </conditionalFormatting>
  <conditionalFormatting sqref="B100:S108">
    <cfRule type="expression" priority="3" dxfId="0">
      <formula>MOD(ROW(),2)</formula>
    </cfRule>
  </conditionalFormatting>
  <conditionalFormatting sqref="B113:S114">
    <cfRule type="expression" priority="2" dxfId="0">
      <formula>MOD(ROW(),2)</formula>
    </cfRule>
  </conditionalFormatting>
  <conditionalFormatting sqref="B6:S24">
    <cfRule type="expression" priority="1" dxfId="0">
      <formula>MOD(ROW(),2)</formula>
    </cfRule>
  </conditionalFormatting>
  <printOptions/>
  <pageMargins left="0.7" right="0.7" top="0.75" bottom="0.75" header="0.3" footer="0.3"/>
  <pageSetup horizontalDpi="600" verticalDpi="600" orientation="portrait" paperSize="9" copies="1"/>
  <extLst>
    <ext xmlns:x14="http://schemas.microsoft.com/office/spreadsheetml/2009/9/main" uri="{78C0D931-6437-407d-A8EE-F0AAD7539E65}">
      <x14:conditionalFormattings>
        <x14:conditionalFormatting xmlns:xm="http://schemas.microsoft.com/office/excel/2006/main">
          <x14:cfRule type="expression" priority="10">
            <xm:f>MOD(ROW(),2)</xm:f>
            <x14:dxf>
              <fill>
                <patternFill patternType="solid">
                  <fgColor theme="5" tint="0.5999600291252136"/>
                  <bgColor theme="5" tint="0.5999600291252136"/>
                </patternFill>
              </fill>
            </x14:dxf>
          </x14:cfRule>
          <xm:sqref>B32:S50</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B57:S73</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B78:S85</xm:sqref>
        </x14:conditionalFormatting>
        <x14:conditionalFormatting xmlns:xm="http://schemas.microsoft.com/office/excel/2006/main">
          <x14:cfRule type="expression" priority="7">
            <xm:f>MOD(ROW(),2)</xm:f>
            <x14:dxf>
              <fill>
                <patternFill patternType="solid">
                  <fgColor theme="5" tint="0.5999600291252136"/>
                  <bgColor theme="5" tint="0.5999600291252136"/>
                </patternFill>
              </fill>
            </x14:dxf>
          </x14:cfRule>
          <xm:sqref>B88:S94</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B100:S108</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B113:S114</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B6:S24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AE424"/>
  <sheetViews>
    <sheetView zoomScale="60" zoomScaleNormal="60" workbookViewId="0" topLeftCell="A1">
      <selection activeCell="A2" sqref="A2:F3"/>
    </sheetView>
  </sheetViews>
  <sheetFormatPr defaultColWidth="11.421875" defaultRowHeight="15"/>
  <cols>
    <col min="1" max="1" width="48.8515625" style="143" customWidth="1"/>
    <col min="2" max="5" width="8.57421875" style="143" customWidth="1"/>
    <col min="6" max="12" width="10.57421875" style="143" customWidth="1"/>
    <col min="13" max="16" width="10.57421875" style="142" customWidth="1"/>
    <col min="17" max="23" width="8.57421875" style="142" customWidth="1"/>
    <col min="24" max="24" width="18.57421875" style="142" customWidth="1"/>
    <col min="25" max="25" width="16.28125" style="142" customWidth="1"/>
    <col min="26" max="26" width="9.421875" style="419" customWidth="1"/>
    <col min="27" max="27" width="9.421875" style="142" customWidth="1"/>
    <col min="28" max="28" width="10.7109375" style="419" customWidth="1"/>
    <col min="29" max="29" width="18.140625" style="142" bestFit="1" customWidth="1"/>
    <col min="30" max="31" width="19.28125" style="142" bestFit="1" customWidth="1"/>
    <col min="32" max="16384" width="10.8515625" style="142" customWidth="1"/>
  </cols>
  <sheetData>
    <row r="1" ht="15" customHeight="1"/>
    <row r="2" spans="1:12" ht="15" customHeight="1">
      <c r="A2" s="144" t="s">
        <v>356</v>
      </c>
      <c r="B2" s="145"/>
      <c r="C2" s="145"/>
      <c r="D2" s="145"/>
      <c r="E2" s="145"/>
      <c r="F2" s="146"/>
      <c r="H2" s="142"/>
      <c r="I2" s="142"/>
      <c r="J2" s="142"/>
      <c r="K2" s="142"/>
      <c r="L2" s="142"/>
    </row>
    <row r="3" spans="1:12" ht="15" customHeight="1">
      <c r="A3" s="147"/>
      <c r="B3" s="148"/>
      <c r="C3" s="148"/>
      <c r="D3" s="148"/>
      <c r="E3" s="148"/>
      <c r="F3" s="149"/>
      <c r="H3" s="142"/>
      <c r="I3" s="142"/>
      <c r="J3" s="142"/>
      <c r="K3" s="142"/>
      <c r="L3" s="142"/>
    </row>
    <row r="4" ht="15" customHeight="1"/>
    <row r="5" spans="1:23" ht="14.5">
      <c r="A5" s="151" t="s">
        <v>45</v>
      </c>
      <c r="B5" s="236"/>
      <c r="C5" s="236"/>
      <c r="D5" s="236"/>
      <c r="E5" s="236"/>
      <c r="M5" s="143"/>
      <c r="N5" s="143"/>
      <c r="O5" s="143"/>
      <c r="P5" s="143"/>
      <c r="Q5" s="143"/>
      <c r="R5" s="143"/>
      <c r="S5" s="143"/>
      <c r="T5" s="143"/>
      <c r="U5" s="143"/>
      <c r="V5" s="143"/>
      <c r="W5" s="143"/>
    </row>
    <row r="6" ht="15" customHeight="1"/>
    <row r="7" spans="1:24" ht="30" customHeight="1">
      <c r="A7" s="151" t="s">
        <v>46</v>
      </c>
      <c r="B7" s="152"/>
      <c r="C7" s="152"/>
      <c r="D7" s="152"/>
      <c r="E7" s="152" t="s">
        <v>47</v>
      </c>
      <c r="F7" s="153">
        <v>2013</v>
      </c>
      <c r="G7" s="152">
        <v>2014</v>
      </c>
      <c r="H7" s="152">
        <v>2015</v>
      </c>
      <c r="I7" s="152">
        <v>2016</v>
      </c>
      <c r="J7" s="152">
        <v>2017</v>
      </c>
      <c r="K7" s="152">
        <v>2018</v>
      </c>
      <c r="L7" s="152">
        <v>2019</v>
      </c>
      <c r="M7" s="152">
        <v>2020</v>
      </c>
      <c r="N7" s="152">
        <v>2021</v>
      </c>
      <c r="O7" s="152">
        <v>2022</v>
      </c>
      <c r="P7" s="154">
        <v>2023</v>
      </c>
      <c r="Q7" s="153">
        <v>2024</v>
      </c>
      <c r="R7" s="154">
        <v>2025</v>
      </c>
      <c r="S7" s="153">
        <v>2026</v>
      </c>
      <c r="T7" s="152">
        <v>2027</v>
      </c>
      <c r="U7" s="152">
        <v>2028</v>
      </c>
      <c r="V7" s="152">
        <v>2029</v>
      </c>
      <c r="W7" s="154">
        <v>2030</v>
      </c>
      <c r="X7" s="142" t="s">
        <v>48</v>
      </c>
    </row>
    <row r="8" spans="1:24" ht="15" customHeight="1">
      <c r="A8" s="155" t="s">
        <v>49</v>
      </c>
      <c r="B8" s="156"/>
      <c r="C8" s="156"/>
      <c r="D8" s="157"/>
      <c r="E8" s="415" t="s">
        <v>50</v>
      </c>
      <c r="F8" s="159">
        <v>19488</v>
      </c>
      <c r="G8" s="160">
        <v>19880</v>
      </c>
      <c r="H8" s="160">
        <v>20200</v>
      </c>
      <c r="I8" s="160">
        <v>20829</v>
      </c>
      <c r="J8" s="160">
        <v>21372</v>
      </c>
      <c r="K8" s="160">
        <f>J8*1.021</f>
        <v>21820.811999999998</v>
      </c>
      <c r="L8" s="160">
        <f aca="true" t="shared" si="0" ref="L8:R8">K8*1.021</f>
        <v>22279.049051999995</v>
      </c>
      <c r="M8" s="160">
        <f t="shared" si="0"/>
        <v>22746.909082091992</v>
      </c>
      <c r="N8" s="160">
        <f t="shared" si="0"/>
        <v>23224.594172815923</v>
      </c>
      <c r="O8" s="160">
        <f t="shared" si="0"/>
        <v>23712.310650445055</v>
      </c>
      <c r="P8" s="161">
        <f t="shared" si="0"/>
        <v>24210.2691741044</v>
      </c>
      <c r="Q8" s="159">
        <f t="shared" si="0"/>
        <v>24718.68482676059</v>
      </c>
      <c r="R8" s="160">
        <f t="shared" si="0"/>
        <v>25237.77720812256</v>
      </c>
      <c r="S8" s="162">
        <f>R8*1.021</f>
        <v>25767.77052949313</v>
      </c>
      <c r="T8" s="163">
        <f aca="true" t="shared" si="1" ref="T8:W8">S8*1.021</f>
        <v>26308.893710612483</v>
      </c>
      <c r="U8" s="163">
        <f t="shared" si="1"/>
        <v>26861.380478535342</v>
      </c>
      <c r="V8" s="163">
        <f t="shared" si="1"/>
        <v>27425.469468584583</v>
      </c>
      <c r="W8" s="164">
        <f t="shared" si="1"/>
        <v>28001.404327424858</v>
      </c>
      <c r="X8" s="142" t="s">
        <v>51</v>
      </c>
    </row>
    <row r="9" spans="1:24" ht="15" customHeight="1">
      <c r="A9" s="155" t="s">
        <v>52</v>
      </c>
      <c r="B9" s="157"/>
      <c r="C9" s="157"/>
      <c r="D9" s="157"/>
      <c r="E9" s="415"/>
      <c r="F9" s="159">
        <v>23418</v>
      </c>
      <c r="G9" s="160">
        <v>23856</v>
      </c>
      <c r="H9" s="160">
        <v>24313</v>
      </c>
      <c r="I9" s="160">
        <v>24986</v>
      </c>
      <c r="J9" s="160">
        <v>25606</v>
      </c>
      <c r="K9" s="160"/>
      <c r="L9" s="160"/>
      <c r="M9" s="160"/>
      <c r="N9" s="160"/>
      <c r="O9" s="160"/>
      <c r="P9" s="161"/>
      <c r="Q9" s="159"/>
      <c r="R9" s="160"/>
      <c r="S9" s="159"/>
      <c r="T9" s="160"/>
      <c r="U9" s="160"/>
      <c r="V9" s="160"/>
      <c r="W9" s="161"/>
      <c r="X9" s="142"/>
    </row>
    <row r="10" spans="1:24" ht="15" customHeight="1">
      <c r="A10" s="155" t="s">
        <v>53</v>
      </c>
      <c r="B10" s="157"/>
      <c r="C10" s="157"/>
      <c r="D10" s="157"/>
      <c r="E10" s="415"/>
      <c r="F10" s="159"/>
      <c r="G10" s="160">
        <f>5158*11.3</f>
        <v>58285.4</v>
      </c>
      <c r="H10" s="160"/>
      <c r="I10" s="160"/>
      <c r="J10" s="160"/>
      <c r="K10" s="160"/>
      <c r="L10" s="160"/>
      <c r="M10" s="160">
        <f>5453*11.3</f>
        <v>61618.9</v>
      </c>
      <c r="N10" s="160"/>
      <c r="O10" s="160"/>
      <c r="P10" s="161"/>
      <c r="Q10" s="159"/>
      <c r="R10" s="160"/>
      <c r="S10" s="159"/>
      <c r="T10" s="160"/>
      <c r="U10" s="160"/>
      <c r="V10" s="160"/>
      <c r="W10" s="161"/>
      <c r="X10" s="142"/>
    </row>
    <row r="11" spans="1:24" ht="15" customHeight="1">
      <c r="A11" s="155" t="s">
        <v>54</v>
      </c>
      <c r="B11" s="157"/>
      <c r="C11" s="157"/>
      <c r="D11" s="157"/>
      <c r="E11" s="415"/>
      <c r="F11" s="165"/>
      <c r="G11" s="166">
        <f>G10/G8</f>
        <v>2.9318611670020123</v>
      </c>
      <c r="H11" s="166"/>
      <c r="I11" s="166"/>
      <c r="J11" s="166"/>
      <c r="K11" s="166"/>
      <c r="L11" s="166"/>
      <c r="M11" s="166">
        <f>M10/M8</f>
        <v>2.7088911191239977</v>
      </c>
      <c r="N11" s="166"/>
      <c r="O11" s="166"/>
      <c r="P11" s="167"/>
      <c r="Q11" s="165"/>
      <c r="R11" s="166"/>
      <c r="S11" s="165"/>
      <c r="T11" s="166"/>
      <c r="U11" s="166"/>
      <c r="V11" s="166"/>
      <c r="W11" s="167"/>
      <c r="X11" s="142"/>
    </row>
    <row r="12" spans="1:24" ht="15" customHeight="1">
      <c r="A12" s="155" t="s">
        <v>55</v>
      </c>
      <c r="B12" s="157"/>
      <c r="C12" s="156"/>
      <c r="D12" s="157"/>
      <c r="E12" s="415" t="s">
        <v>56</v>
      </c>
      <c r="F12" s="159">
        <v>534.9079463838059</v>
      </c>
      <c r="G12" s="160">
        <v>539.2497921747522</v>
      </c>
      <c r="H12" s="160">
        <v>543.1748996320798</v>
      </c>
      <c r="I12" s="160">
        <v>550.6013359894824</v>
      </c>
      <c r="J12" s="160">
        <v>560.4215751046033</v>
      </c>
      <c r="K12" s="160">
        <v>576.2288096227534</v>
      </c>
      <c r="L12" s="160">
        <v>583.8989769043484</v>
      </c>
      <c r="M12" s="160">
        <f>L12*1.013</f>
        <v>591.4896636041049</v>
      </c>
      <c r="N12" s="168">
        <v>591.4896636041049</v>
      </c>
      <c r="O12" s="168">
        <v>591.4896636041049</v>
      </c>
      <c r="P12" s="169">
        <v>591.4896636041049</v>
      </c>
      <c r="Q12" s="170">
        <v>591.4896636041049</v>
      </c>
      <c r="R12" s="168">
        <v>591.4896636041049</v>
      </c>
      <c r="S12" s="170">
        <f aca="true" t="shared" si="2" ref="S12:S13">R12</f>
        <v>591.4896636041049</v>
      </c>
      <c r="T12" s="168">
        <f aca="true" t="shared" si="3" ref="T12:W13">S12</f>
        <v>591.4896636041049</v>
      </c>
      <c r="U12" s="168">
        <f t="shared" si="3"/>
        <v>591.4896636041049</v>
      </c>
      <c r="V12" s="168">
        <f t="shared" si="3"/>
        <v>591.4896636041049</v>
      </c>
      <c r="W12" s="169">
        <f t="shared" si="3"/>
        <v>591.4896636041049</v>
      </c>
      <c r="X12" s="142" t="s">
        <v>351</v>
      </c>
    </row>
    <row r="13" spans="1:23" ht="15" customHeight="1">
      <c r="A13" s="155" t="s">
        <v>58</v>
      </c>
      <c r="B13" s="157"/>
      <c r="C13" s="156"/>
      <c r="D13" s="157"/>
      <c r="E13" s="415" t="s">
        <v>50</v>
      </c>
      <c r="F13" s="159">
        <f>278*F12</f>
        <v>148704.40909469803</v>
      </c>
      <c r="G13" s="160">
        <f aca="true" t="shared" si="4" ref="G13:R13">278*G12</f>
        <v>149911.44222458111</v>
      </c>
      <c r="H13" s="160">
        <f t="shared" si="4"/>
        <v>151002.62209771818</v>
      </c>
      <c r="I13" s="160">
        <f t="shared" si="4"/>
        <v>153067.1714050761</v>
      </c>
      <c r="J13" s="160">
        <f t="shared" si="4"/>
        <v>155797.19787907973</v>
      </c>
      <c r="K13" s="160">
        <f t="shared" si="4"/>
        <v>160191.60907512545</v>
      </c>
      <c r="L13" s="160">
        <f t="shared" si="4"/>
        <v>162323.91557940884</v>
      </c>
      <c r="M13" s="160">
        <f t="shared" si="4"/>
        <v>164434.12648194114</v>
      </c>
      <c r="N13" s="160">
        <f t="shared" si="4"/>
        <v>164434.12648194114</v>
      </c>
      <c r="O13" s="160">
        <f t="shared" si="4"/>
        <v>164434.12648194114</v>
      </c>
      <c r="P13" s="161">
        <f t="shared" si="4"/>
        <v>164434.12648194114</v>
      </c>
      <c r="Q13" s="159">
        <f t="shared" si="4"/>
        <v>164434.12648194114</v>
      </c>
      <c r="R13" s="160">
        <f t="shared" si="4"/>
        <v>164434.12648194114</v>
      </c>
      <c r="S13" s="159">
        <f t="shared" si="2"/>
        <v>164434.12648194114</v>
      </c>
      <c r="T13" s="160">
        <f t="shared" si="3"/>
        <v>164434.12648194114</v>
      </c>
      <c r="U13" s="160">
        <f t="shared" si="3"/>
        <v>164434.12648194114</v>
      </c>
      <c r="V13" s="160">
        <f t="shared" si="3"/>
        <v>164434.12648194114</v>
      </c>
      <c r="W13" s="161">
        <f t="shared" si="3"/>
        <v>164434.12648194114</v>
      </c>
    </row>
    <row r="14" spans="1:24" ht="15" customHeight="1">
      <c r="A14" s="155" t="s">
        <v>59</v>
      </c>
      <c r="B14" s="157"/>
      <c r="C14" s="156"/>
      <c r="D14" s="157"/>
      <c r="E14" s="415" t="s">
        <v>56</v>
      </c>
      <c r="F14" s="159">
        <v>9214</v>
      </c>
      <c r="G14" s="160">
        <v>9315</v>
      </c>
      <c r="H14" s="160">
        <v>9414</v>
      </c>
      <c r="I14" s="160">
        <v>9534</v>
      </c>
      <c r="J14" s="160">
        <v>9717</v>
      </c>
      <c r="K14" s="160">
        <f>J14*1.013</f>
        <v>9843.321</v>
      </c>
      <c r="L14" s="160">
        <f aca="true" t="shared" si="5" ref="L14:R14">K14*1.013</f>
        <v>9971.284172999998</v>
      </c>
      <c r="M14" s="160">
        <f t="shared" si="5"/>
        <v>10100.910867248997</v>
      </c>
      <c r="N14" s="160">
        <f t="shared" si="5"/>
        <v>10232.222708523232</v>
      </c>
      <c r="O14" s="160">
        <f t="shared" si="5"/>
        <v>10365.241603734032</v>
      </c>
      <c r="P14" s="161">
        <f t="shared" si="5"/>
        <v>10499.989744582574</v>
      </c>
      <c r="Q14" s="159">
        <f t="shared" si="5"/>
        <v>10636.489611262146</v>
      </c>
      <c r="R14" s="160">
        <f t="shared" si="5"/>
        <v>10774.763976208553</v>
      </c>
      <c r="S14" s="159">
        <f>R14*1.013</f>
        <v>10914.835907899263</v>
      </c>
      <c r="T14" s="160">
        <f aca="true" t="shared" si="6" ref="T14:W14">S14*1.013</f>
        <v>11056.728774701953</v>
      </c>
      <c r="U14" s="160">
        <f t="shared" si="6"/>
        <v>11200.466248773077</v>
      </c>
      <c r="V14" s="160">
        <f t="shared" si="6"/>
        <v>11346.072310007126</v>
      </c>
      <c r="W14" s="161">
        <f t="shared" si="6"/>
        <v>11493.571250037217</v>
      </c>
      <c r="X14" s="142" t="s">
        <v>60</v>
      </c>
    </row>
    <row r="15" spans="1:23" ht="15" customHeight="1">
      <c r="A15" s="155" t="s">
        <v>61</v>
      </c>
      <c r="B15" s="157"/>
      <c r="C15" s="156"/>
      <c r="D15" s="157"/>
      <c r="E15" s="415" t="s">
        <v>50</v>
      </c>
      <c r="F15" s="159">
        <f>11.63*F14</f>
        <v>107158.82</v>
      </c>
      <c r="G15" s="160">
        <f aca="true" t="shared" si="7" ref="G15:R15">11.63*G14</f>
        <v>108333.45000000001</v>
      </c>
      <c r="H15" s="160">
        <f t="shared" si="7"/>
        <v>109484.82</v>
      </c>
      <c r="I15" s="160">
        <f t="shared" si="7"/>
        <v>110880.42000000001</v>
      </c>
      <c r="J15" s="160">
        <f t="shared" si="7"/>
        <v>113008.71</v>
      </c>
      <c r="K15" s="160">
        <f t="shared" si="7"/>
        <v>114477.82323000001</v>
      </c>
      <c r="L15" s="160">
        <f t="shared" si="7"/>
        <v>115966.03493198998</v>
      </c>
      <c r="M15" s="160">
        <f t="shared" si="7"/>
        <v>117473.59338610584</v>
      </c>
      <c r="N15" s="160">
        <f t="shared" si="7"/>
        <v>119000.7501001252</v>
      </c>
      <c r="O15" s="160">
        <f t="shared" si="7"/>
        <v>120547.7598514268</v>
      </c>
      <c r="P15" s="161">
        <f t="shared" si="7"/>
        <v>122114.88072949534</v>
      </c>
      <c r="Q15" s="159">
        <f t="shared" si="7"/>
        <v>123702.37417897877</v>
      </c>
      <c r="R15" s="160">
        <f t="shared" si="7"/>
        <v>125310.50504330547</v>
      </c>
      <c r="S15" s="159">
        <f>R15*11.63</f>
        <v>1457361.1736536426</v>
      </c>
      <c r="T15" s="160">
        <f aca="true" t="shared" si="8" ref="T15:W15">S15*11.63</f>
        <v>16949110.449591864</v>
      </c>
      <c r="U15" s="160">
        <f t="shared" si="8"/>
        <v>197118154.5287534</v>
      </c>
      <c r="V15" s="160">
        <f t="shared" si="8"/>
        <v>2292484137.169402</v>
      </c>
      <c r="W15" s="161">
        <f t="shared" si="8"/>
        <v>26661590515.280148</v>
      </c>
    </row>
    <row r="16" spans="1:24" ht="15" customHeight="1">
      <c r="A16" s="155" t="s">
        <v>62</v>
      </c>
      <c r="B16" s="157"/>
      <c r="C16" s="156"/>
      <c r="D16" s="157"/>
      <c r="E16" s="415" t="s">
        <v>50</v>
      </c>
      <c r="F16" s="159">
        <f>G16/1.01</f>
        <v>48086.21860034744</v>
      </c>
      <c r="G16" s="160">
        <f>H16/1.01</f>
        <v>48567.08078635092</v>
      </c>
      <c r="H16" s="160">
        <f>I16/1.015</f>
        <v>49052.75159421443</v>
      </c>
      <c r="I16" s="160">
        <f>J16/1.02</f>
        <v>49788.54286812764</v>
      </c>
      <c r="J16" s="160">
        <f>K16/1.02</f>
        <v>50784.313725490196</v>
      </c>
      <c r="K16" s="171">
        <v>51800</v>
      </c>
      <c r="L16" s="160">
        <f>K16*1.017</f>
        <v>52680.6</v>
      </c>
      <c r="M16" s="171">
        <v>51000</v>
      </c>
      <c r="N16" s="168">
        <v>51000</v>
      </c>
      <c r="O16" s="168">
        <v>50000</v>
      </c>
      <c r="P16" s="169">
        <v>48000</v>
      </c>
      <c r="Q16" s="170">
        <v>46000</v>
      </c>
      <c r="R16" s="168">
        <v>44000</v>
      </c>
      <c r="S16" s="170">
        <f>R16</f>
        <v>44000</v>
      </c>
      <c r="T16" s="168">
        <f>S16</f>
        <v>44000</v>
      </c>
      <c r="U16" s="168">
        <f aca="true" t="shared" si="9" ref="U16:W16">T16</f>
        <v>44000</v>
      </c>
      <c r="V16" s="168">
        <f t="shared" si="9"/>
        <v>44000</v>
      </c>
      <c r="W16" s="169">
        <f t="shared" si="9"/>
        <v>44000</v>
      </c>
      <c r="X16" s="142" t="s">
        <v>63</v>
      </c>
    </row>
    <row r="17" spans="1:24" ht="15" customHeight="1">
      <c r="A17" s="155" t="s">
        <v>64</v>
      </c>
      <c r="B17" s="157"/>
      <c r="C17" s="156"/>
      <c r="D17" s="157"/>
      <c r="E17" s="415" t="s">
        <v>65</v>
      </c>
      <c r="F17" s="159">
        <v>32795.55410647285</v>
      </c>
      <c r="G17" s="160">
        <v>32804.71869141038</v>
      </c>
      <c r="H17" s="160">
        <v>32787.19767306459</v>
      </c>
      <c r="I17" s="160">
        <v>32936.06603613734</v>
      </c>
      <c r="J17" s="160">
        <v>33279.49133386669</v>
      </c>
      <c r="K17" s="171">
        <v>34007.8910352292</v>
      </c>
      <c r="L17" s="160">
        <v>34169.00078208068</v>
      </c>
      <c r="M17" s="171">
        <f>L17*1.01</f>
        <v>34510.690789901484</v>
      </c>
      <c r="N17" s="168">
        <f>M17</f>
        <v>34510.690789901484</v>
      </c>
      <c r="O17" s="168">
        <f>N17*0.98</f>
        <v>33820.476974103454</v>
      </c>
      <c r="P17" s="169">
        <f>O17*0.96</f>
        <v>32467.657895139317</v>
      </c>
      <c r="Q17" s="170">
        <f aca="true" t="shared" si="10" ref="Q17:R17">P17*0.96</f>
        <v>31168.95157933374</v>
      </c>
      <c r="R17" s="168">
        <f t="shared" si="10"/>
        <v>29922.19351616039</v>
      </c>
      <c r="S17" s="170">
        <f>R17*0.96</f>
        <v>28725.305775513974</v>
      </c>
      <c r="T17" s="168">
        <f aca="true" t="shared" si="11" ref="T17:W17">S17*0.96</f>
        <v>27576.293544493416</v>
      </c>
      <c r="U17" s="168">
        <f t="shared" si="11"/>
        <v>26473.241802713677</v>
      </c>
      <c r="V17" s="168">
        <f t="shared" si="11"/>
        <v>25414.31213060513</v>
      </c>
      <c r="W17" s="169">
        <f t="shared" si="11"/>
        <v>24397.739645380923</v>
      </c>
      <c r="X17" s="142"/>
    </row>
    <row r="18" spans="1:24" ht="15" customHeight="1">
      <c r="A18" s="155" t="s">
        <v>66</v>
      </c>
      <c r="B18" s="157"/>
      <c r="C18" s="156"/>
      <c r="D18" s="157"/>
      <c r="E18" s="415" t="s">
        <v>65</v>
      </c>
      <c r="F18" s="172">
        <f>F17/F13</f>
        <v>0.2205419079779132</v>
      </c>
      <c r="G18" s="173">
        <f aca="true" t="shared" si="12" ref="G18:Q18">G17/G13</f>
        <v>0.218827317012039</v>
      </c>
      <c r="H18" s="173">
        <f t="shared" si="12"/>
        <v>0.2171299889868604</v>
      </c>
      <c r="I18" s="173">
        <f t="shared" si="12"/>
        <v>0.21517393791105943</v>
      </c>
      <c r="J18" s="173">
        <f t="shared" si="12"/>
        <v>0.2136077656524747</v>
      </c>
      <c r="K18" s="174">
        <f t="shared" si="12"/>
        <v>0.2122950835663336</v>
      </c>
      <c r="L18" s="173">
        <f t="shared" si="12"/>
        <v>0.21049886986840954</v>
      </c>
      <c r="M18" s="174">
        <f t="shared" si="12"/>
        <v>0.2098754773613955</v>
      </c>
      <c r="N18" s="175">
        <f t="shared" si="12"/>
        <v>0.2098754773613955</v>
      </c>
      <c r="O18" s="175">
        <f t="shared" si="12"/>
        <v>0.20567796781416758</v>
      </c>
      <c r="P18" s="176">
        <f t="shared" si="12"/>
        <v>0.1974508491016009</v>
      </c>
      <c r="Q18" s="177">
        <f t="shared" si="12"/>
        <v>0.18955281513753686</v>
      </c>
      <c r="R18" s="175">
        <f>R17/R13</f>
        <v>0.18197070253203537</v>
      </c>
      <c r="S18" s="177">
        <f>S17/S13</f>
        <v>0.17469187443075396</v>
      </c>
      <c r="T18" s="175">
        <f aca="true" t="shared" si="13" ref="T18:W18">T17/T13</f>
        <v>0.1677041994535238</v>
      </c>
      <c r="U18" s="175">
        <f t="shared" si="13"/>
        <v>0.16099603147538283</v>
      </c>
      <c r="V18" s="175">
        <f t="shared" si="13"/>
        <v>0.15455619021636752</v>
      </c>
      <c r="W18" s="176">
        <f t="shared" si="13"/>
        <v>0.1483739426077128</v>
      </c>
      <c r="X18" s="142"/>
    </row>
    <row r="19" spans="1:28" ht="15" customHeight="1">
      <c r="A19" s="178" t="s">
        <v>67</v>
      </c>
      <c r="B19" s="179"/>
      <c r="C19" s="156"/>
      <c r="D19" s="156"/>
      <c r="E19" s="180">
        <f>'Update Scenarios'!D28</f>
        <v>-0.04</v>
      </c>
      <c r="F19" s="181">
        <v>0.62</v>
      </c>
      <c r="G19" s="182">
        <v>0.61</v>
      </c>
      <c r="H19" s="182">
        <v>0.61</v>
      </c>
      <c r="I19" s="182">
        <v>0.61</v>
      </c>
      <c r="J19" s="182">
        <v>0.6</v>
      </c>
      <c r="K19" s="183">
        <v>0.6</v>
      </c>
      <c r="L19" s="182">
        <v>0.6</v>
      </c>
      <c r="M19" s="183">
        <v>0.59</v>
      </c>
      <c r="N19" s="184">
        <v>0.59</v>
      </c>
      <c r="O19" s="184">
        <v>0.58</v>
      </c>
      <c r="P19" s="185">
        <v>0.57</v>
      </c>
      <c r="Q19" s="186">
        <v>0.55</v>
      </c>
      <c r="R19" s="184">
        <v>0.53</v>
      </c>
      <c r="S19" s="186">
        <f>R19*(1+$E19)</f>
        <v>0.5088</v>
      </c>
      <c r="T19" s="184">
        <f aca="true" t="shared" si="14" ref="T19:W25">S19*(1+$E19)</f>
        <v>0.488448</v>
      </c>
      <c r="U19" s="184">
        <f t="shared" si="14"/>
        <v>0.46891007999999995</v>
      </c>
      <c r="V19" s="184">
        <f t="shared" si="14"/>
        <v>0.45015367679999996</v>
      </c>
      <c r="W19" s="185">
        <f t="shared" si="14"/>
        <v>0.43214752972799997</v>
      </c>
      <c r="X19" s="236"/>
      <c r="Z19" s="420"/>
      <c r="AB19" s="420"/>
    </row>
    <row r="20" ht="15" customHeight="1"/>
    <row r="21" ht="15" customHeight="1"/>
    <row r="22" spans="1:5" ht="14.5">
      <c r="A22" s="151" t="s">
        <v>357</v>
      </c>
      <c r="B22" s="236"/>
      <c r="C22" s="236"/>
      <c r="D22" s="236"/>
      <c r="E22" s="236"/>
    </row>
    <row r="23" ht="15" customHeight="1"/>
    <row r="24" spans="1:23" ht="30" customHeight="1">
      <c r="A24" s="151" t="s">
        <v>69</v>
      </c>
      <c r="B24" s="153" t="s">
        <v>70</v>
      </c>
      <c r="C24" s="154" t="s">
        <v>71</v>
      </c>
      <c r="D24" s="152" t="s">
        <v>72</v>
      </c>
      <c r="E24" s="154" t="s">
        <v>73</v>
      </c>
      <c r="F24" s="153">
        <v>2013</v>
      </c>
      <c r="G24" s="152">
        <v>2014</v>
      </c>
      <c r="H24" s="152">
        <v>2015</v>
      </c>
      <c r="I24" s="152">
        <v>2016</v>
      </c>
      <c r="J24" s="152">
        <v>2017</v>
      </c>
      <c r="K24" s="152">
        <v>2018</v>
      </c>
      <c r="L24" s="152">
        <v>2019</v>
      </c>
      <c r="M24" s="152">
        <v>2020</v>
      </c>
      <c r="N24" s="152">
        <v>2021</v>
      </c>
      <c r="O24" s="152">
        <v>2022</v>
      </c>
      <c r="P24" s="152">
        <v>2023</v>
      </c>
      <c r="Q24" s="153">
        <v>2024</v>
      </c>
      <c r="R24" s="154">
        <v>2025</v>
      </c>
      <c r="S24" s="152">
        <v>2026</v>
      </c>
      <c r="T24" s="152">
        <v>2027</v>
      </c>
      <c r="U24" s="152">
        <v>2028</v>
      </c>
      <c r="V24" s="152">
        <v>2029</v>
      </c>
      <c r="W24" s="154">
        <v>2030</v>
      </c>
    </row>
    <row r="25" spans="1:24" ht="15" customHeight="1">
      <c r="A25" s="155" t="s">
        <v>74</v>
      </c>
      <c r="B25" s="187">
        <v>-0.06</v>
      </c>
      <c r="C25" s="188">
        <v>-0.02</v>
      </c>
      <c r="D25" s="189">
        <f aca="true" t="shared" si="15" ref="D25:D40">C25</f>
        <v>-0.02</v>
      </c>
      <c r="E25" s="188">
        <f aca="true" t="shared" si="16" ref="E25:E40">C25</f>
        <v>-0.02</v>
      </c>
      <c r="F25" s="159">
        <f aca="true" t="shared" si="17" ref="F25:I37">G25/(1+$B25)</f>
        <v>125.52050021302625</v>
      </c>
      <c r="G25" s="160">
        <f>H25/(1+$B25)</f>
        <v>117.98927020024468</v>
      </c>
      <c r="H25" s="160">
        <f>I25/(1+$B25)</f>
        <v>110.90991398822999</v>
      </c>
      <c r="I25" s="160">
        <f>J25/(1+$B25)</f>
        <v>104.25531914893618</v>
      </c>
      <c r="J25" s="168">
        <v>98</v>
      </c>
      <c r="K25" s="168">
        <f>0.975*J25</f>
        <v>95.55</v>
      </c>
      <c r="L25" s="190">
        <f>0.975*K25</f>
        <v>93.16125</v>
      </c>
      <c r="M25" s="160">
        <f aca="true" t="shared" si="18" ref="M25:P41">L25*(1+$C25)</f>
        <v>91.298025</v>
      </c>
      <c r="N25" s="160">
        <f t="shared" si="18"/>
        <v>89.47206449999999</v>
      </c>
      <c r="O25" s="168">
        <f t="shared" si="18"/>
        <v>87.68262320999999</v>
      </c>
      <c r="P25" s="168">
        <f>O25*(1+$C25)</f>
        <v>85.92897074579999</v>
      </c>
      <c r="Q25" s="170">
        <f aca="true" t="shared" si="19" ref="Q25:R41">P25*(1+$D25)</f>
        <v>84.21039133088398</v>
      </c>
      <c r="R25" s="169">
        <f>Q25*(1+$D25)</f>
        <v>82.5261835042663</v>
      </c>
      <c r="S25" s="168">
        <f aca="true" t="shared" si="20" ref="S25:W41">R25*(1+$E25)</f>
        <v>80.87565983418096</v>
      </c>
      <c r="T25" s="168">
        <f t="shared" si="14"/>
        <v>79.25814663749735</v>
      </c>
      <c r="U25" s="168">
        <f t="shared" si="14"/>
        <v>77.6729837047474</v>
      </c>
      <c r="V25" s="168">
        <f t="shared" si="14"/>
        <v>76.11952403065244</v>
      </c>
      <c r="W25" s="169">
        <f t="shared" si="14"/>
        <v>74.59713355003939</v>
      </c>
      <c r="X25" s="142" t="s">
        <v>75</v>
      </c>
    </row>
    <row r="26" spans="1:24" ht="15" customHeight="1">
      <c r="A26" s="155" t="s">
        <v>76</v>
      </c>
      <c r="B26" s="187">
        <v>-0.02</v>
      </c>
      <c r="C26" s="188">
        <v>0</v>
      </c>
      <c r="D26" s="189">
        <f t="shared" si="15"/>
        <v>0</v>
      </c>
      <c r="E26" s="188">
        <f t="shared" si="16"/>
        <v>0</v>
      </c>
      <c r="F26" s="159">
        <f t="shared" si="17"/>
        <v>130.09989416807275</v>
      </c>
      <c r="G26" s="160">
        <f t="shared" si="17"/>
        <v>127.4978962847113</v>
      </c>
      <c r="H26" s="160">
        <f t="shared" si="17"/>
        <v>124.94793835901707</v>
      </c>
      <c r="I26" s="160">
        <f t="shared" si="17"/>
        <v>122.44897959183673</v>
      </c>
      <c r="J26" s="168">
        <v>120</v>
      </c>
      <c r="K26" s="168">
        <v>120</v>
      </c>
      <c r="L26" s="190">
        <v>120</v>
      </c>
      <c r="M26" s="160">
        <f t="shared" si="18"/>
        <v>120</v>
      </c>
      <c r="N26" s="160">
        <f t="shared" si="18"/>
        <v>120</v>
      </c>
      <c r="O26" s="168">
        <f t="shared" si="18"/>
        <v>120</v>
      </c>
      <c r="P26" s="168">
        <f t="shared" si="18"/>
        <v>120</v>
      </c>
      <c r="Q26" s="170">
        <f t="shared" si="19"/>
        <v>120</v>
      </c>
      <c r="R26" s="169">
        <f t="shared" si="19"/>
        <v>120</v>
      </c>
      <c r="S26" s="168">
        <f t="shared" si="20"/>
        <v>120</v>
      </c>
      <c r="T26" s="168">
        <f t="shared" si="20"/>
        <v>120</v>
      </c>
      <c r="U26" s="168">
        <f t="shared" si="20"/>
        <v>120</v>
      </c>
      <c r="V26" s="168">
        <f t="shared" si="20"/>
        <v>120</v>
      </c>
      <c r="W26" s="169">
        <f t="shared" si="20"/>
        <v>120</v>
      </c>
      <c r="X26" s="142" t="s">
        <v>77</v>
      </c>
    </row>
    <row r="27" spans="1:24" ht="15" customHeight="1">
      <c r="A27" s="155" t="s">
        <v>78</v>
      </c>
      <c r="B27" s="187">
        <v>-0.02</v>
      </c>
      <c r="C27" s="188">
        <v>0</v>
      </c>
      <c r="D27" s="189">
        <f t="shared" si="15"/>
        <v>0</v>
      </c>
      <c r="E27" s="188">
        <f t="shared" si="16"/>
        <v>0</v>
      </c>
      <c r="F27" s="159">
        <f t="shared" si="17"/>
        <v>175.63485712689825</v>
      </c>
      <c r="G27" s="160">
        <f t="shared" si="17"/>
        <v>172.12215998436028</v>
      </c>
      <c r="H27" s="160">
        <f t="shared" si="17"/>
        <v>168.67971678467308</v>
      </c>
      <c r="I27" s="160">
        <f t="shared" si="17"/>
        <v>165.3061224489796</v>
      </c>
      <c r="J27" s="168">
        <v>162</v>
      </c>
      <c r="K27" s="168">
        <v>162</v>
      </c>
      <c r="L27" s="190">
        <v>162</v>
      </c>
      <c r="M27" s="160">
        <f t="shared" si="18"/>
        <v>162</v>
      </c>
      <c r="N27" s="160">
        <f t="shared" si="18"/>
        <v>162</v>
      </c>
      <c r="O27" s="168">
        <f t="shared" si="18"/>
        <v>162</v>
      </c>
      <c r="P27" s="168">
        <f t="shared" si="18"/>
        <v>162</v>
      </c>
      <c r="Q27" s="170">
        <f t="shared" si="19"/>
        <v>162</v>
      </c>
      <c r="R27" s="169">
        <f t="shared" si="19"/>
        <v>162</v>
      </c>
      <c r="S27" s="168">
        <f t="shared" si="20"/>
        <v>162</v>
      </c>
      <c r="T27" s="168">
        <f t="shared" si="20"/>
        <v>162</v>
      </c>
      <c r="U27" s="168">
        <f t="shared" si="20"/>
        <v>162</v>
      </c>
      <c r="V27" s="168">
        <f t="shared" si="20"/>
        <v>162</v>
      </c>
      <c r="W27" s="169">
        <f t="shared" si="20"/>
        <v>162</v>
      </c>
      <c r="X27" s="142" t="s">
        <v>75</v>
      </c>
    </row>
    <row r="28" spans="1:24" ht="15" customHeight="1">
      <c r="A28" s="155" t="s">
        <v>79</v>
      </c>
      <c r="B28" s="187">
        <v>0</v>
      </c>
      <c r="C28" s="188">
        <v>0</v>
      </c>
      <c r="D28" s="189">
        <f t="shared" si="15"/>
        <v>0</v>
      </c>
      <c r="E28" s="188">
        <f t="shared" si="16"/>
        <v>0</v>
      </c>
      <c r="F28" s="159">
        <f t="shared" si="17"/>
        <v>94</v>
      </c>
      <c r="G28" s="160">
        <f t="shared" si="17"/>
        <v>94</v>
      </c>
      <c r="H28" s="160">
        <f t="shared" si="17"/>
        <v>94</v>
      </c>
      <c r="I28" s="160">
        <f t="shared" si="17"/>
        <v>94</v>
      </c>
      <c r="J28" s="168">
        <v>94</v>
      </c>
      <c r="K28" s="168">
        <v>94</v>
      </c>
      <c r="L28" s="190">
        <v>94</v>
      </c>
      <c r="M28" s="160">
        <f t="shared" si="18"/>
        <v>94</v>
      </c>
      <c r="N28" s="160">
        <f t="shared" si="18"/>
        <v>94</v>
      </c>
      <c r="O28" s="168">
        <f t="shared" si="18"/>
        <v>94</v>
      </c>
      <c r="P28" s="168">
        <f t="shared" si="18"/>
        <v>94</v>
      </c>
      <c r="Q28" s="170">
        <f t="shared" si="19"/>
        <v>94</v>
      </c>
      <c r="R28" s="169">
        <f t="shared" si="19"/>
        <v>94</v>
      </c>
      <c r="S28" s="168">
        <f t="shared" si="20"/>
        <v>94</v>
      </c>
      <c r="T28" s="168">
        <f t="shared" si="20"/>
        <v>94</v>
      </c>
      <c r="U28" s="168">
        <f t="shared" si="20"/>
        <v>94</v>
      </c>
      <c r="V28" s="168">
        <f t="shared" si="20"/>
        <v>94</v>
      </c>
      <c r="W28" s="169">
        <f t="shared" si="20"/>
        <v>94</v>
      </c>
      <c r="X28" s="142" t="s">
        <v>80</v>
      </c>
    </row>
    <row r="29" spans="1:24" ht="15" customHeight="1">
      <c r="A29" s="155" t="s">
        <v>81</v>
      </c>
      <c r="B29" s="187">
        <v>0.06</v>
      </c>
      <c r="C29" s="188">
        <v>0.02</v>
      </c>
      <c r="D29" s="189">
        <f t="shared" si="15"/>
        <v>0.02</v>
      </c>
      <c r="E29" s="188">
        <f t="shared" si="16"/>
        <v>0.02</v>
      </c>
      <c r="F29" s="159">
        <f t="shared" si="17"/>
        <v>158.4187326476041</v>
      </c>
      <c r="G29" s="160">
        <f t="shared" si="17"/>
        <v>167.92385660646033</v>
      </c>
      <c r="H29" s="168">
        <f t="shared" si="17"/>
        <v>177.99928800284798</v>
      </c>
      <c r="I29" s="168">
        <f t="shared" si="17"/>
        <v>188.67924528301887</v>
      </c>
      <c r="J29" s="168">
        <v>200</v>
      </c>
      <c r="K29" s="168">
        <f>1.055*J29</f>
        <v>211</v>
      </c>
      <c r="L29" s="190">
        <v>221</v>
      </c>
      <c r="M29" s="160">
        <f t="shared" si="18"/>
        <v>225.42000000000002</v>
      </c>
      <c r="N29" s="160">
        <f t="shared" si="18"/>
        <v>229.9284</v>
      </c>
      <c r="O29" s="168">
        <f t="shared" si="18"/>
        <v>234.526968</v>
      </c>
      <c r="P29" s="168">
        <f t="shared" si="18"/>
        <v>239.21750736</v>
      </c>
      <c r="Q29" s="170">
        <f t="shared" si="19"/>
        <v>244.00185750720001</v>
      </c>
      <c r="R29" s="169">
        <f t="shared" si="19"/>
        <v>248.88189465734402</v>
      </c>
      <c r="S29" s="168">
        <f t="shared" si="20"/>
        <v>253.8595325504909</v>
      </c>
      <c r="T29" s="168">
        <f t="shared" si="20"/>
        <v>258.93672320150074</v>
      </c>
      <c r="U29" s="168">
        <f t="shared" si="20"/>
        <v>264.11545766553076</v>
      </c>
      <c r="V29" s="168">
        <f t="shared" si="20"/>
        <v>269.3977668188414</v>
      </c>
      <c r="W29" s="169">
        <f t="shared" si="20"/>
        <v>274.7857221552182</v>
      </c>
      <c r="X29" s="142" t="s">
        <v>82</v>
      </c>
    </row>
    <row r="30" spans="1:24" ht="15" customHeight="1">
      <c r="A30" s="155" t="s">
        <v>30</v>
      </c>
      <c r="B30" s="187">
        <v>0.07</v>
      </c>
      <c r="C30" s="188">
        <v>0.035</v>
      </c>
      <c r="D30" s="189">
        <f t="shared" si="15"/>
        <v>0.035</v>
      </c>
      <c r="E30" s="191">
        <f>'Update Scenarios'!D7</f>
        <v>0.02</v>
      </c>
      <c r="F30" s="159">
        <f t="shared" si="17"/>
        <v>1117.6414856496242</v>
      </c>
      <c r="G30" s="160">
        <f t="shared" si="17"/>
        <v>1195.876389645098</v>
      </c>
      <c r="H30" s="160">
        <f t="shared" si="17"/>
        <v>1279.5877369202549</v>
      </c>
      <c r="I30" s="160">
        <f t="shared" si="17"/>
        <v>1369.1588785046729</v>
      </c>
      <c r="J30" s="168">
        <v>1465</v>
      </c>
      <c r="K30" s="168">
        <v>1403</v>
      </c>
      <c r="L30" s="190">
        <v>1371</v>
      </c>
      <c r="M30" s="171">
        <v>1292</v>
      </c>
      <c r="N30" s="160">
        <f t="shared" si="18"/>
        <v>1337.2199999999998</v>
      </c>
      <c r="O30" s="168">
        <f t="shared" si="18"/>
        <v>1384.0226999999998</v>
      </c>
      <c r="P30" s="168">
        <f t="shared" si="18"/>
        <v>1432.4634944999996</v>
      </c>
      <c r="Q30" s="170">
        <f t="shared" si="19"/>
        <v>1482.5997168074994</v>
      </c>
      <c r="R30" s="169">
        <f t="shared" si="19"/>
        <v>1534.4907068957618</v>
      </c>
      <c r="S30" s="168">
        <f t="shared" si="20"/>
        <v>1565.180521033677</v>
      </c>
      <c r="T30" s="168">
        <f t="shared" si="20"/>
        <v>1596.4841314543505</v>
      </c>
      <c r="U30" s="168">
        <f t="shared" si="20"/>
        <v>1628.4138140834375</v>
      </c>
      <c r="V30" s="168">
        <f t="shared" si="20"/>
        <v>1660.9820903651064</v>
      </c>
      <c r="W30" s="169">
        <f t="shared" si="20"/>
        <v>1694.2017321724086</v>
      </c>
      <c r="X30" s="142" t="s">
        <v>353</v>
      </c>
    </row>
    <row r="31" spans="1:24" ht="15" customHeight="1">
      <c r="A31" s="155" t="s">
        <v>84</v>
      </c>
      <c r="B31" s="187">
        <v>-0.06</v>
      </c>
      <c r="C31" s="188">
        <v>-0.03</v>
      </c>
      <c r="D31" s="189">
        <f t="shared" si="15"/>
        <v>-0.03</v>
      </c>
      <c r="E31" s="188">
        <f t="shared" si="16"/>
        <v>-0.03</v>
      </c>
      <c r="F31" s="159">
        <f t="shared" si="17"/>
        <v>204.93142891922653</v>
      </c>
      <c r="G31" s="160">
        <f t="shared" si="17"/>
        <v>192.63554318407293</v>
      </c>
      <c r="H31" s="160">
        <f t="shared" si="17"/>
        <v>181.07741059302853</v>
      </c>
      <c r="I31" s="160">
        <f t="shared" si="17"/>
        <v>170.2127659574468</v>
      </c>
      <c r="J31" s="168">
        <v>160</v>
      </c>
      <c r="K31" s="168">
        <v>150</v>
      </c>
      <c r="L31" s="190">
        <v>145</v>
      </c>
      <c r="M31" s="160">
        <f t="shared" si="18"/>
        <v>140.65</v>
      </c>
      <c r="N31" s="160">
        <f t="shared" si="18"/>
        <v>136.4305</v>
      </c>
      <c r="O31" s="168">
        <f t="shared" si="18"/>
        <v>132.337585</v>
      </c>
      <c r="P31" s="168">
        <f t="shared" si="18"/>
        <v>128.36745745</v>
      </c>
      <c r="Q31" s="170">
        <f t="shared" si="19"/>
        <v>124.51643372649998</v>
      </c>
      <c r="R31" s="169">
        <f t="shared" si="19"/>
        <v>120.78094071470498</v>
      </c>
      <c r="S31" s="168">
        <f t="shared" si="20"/>
        <v>117.15751249326382</v>
      </c>
      <c r="T31" s="168">
        <f t="shared" si="20"/>
        <v>113.6427871184659</v>
      </c>
      <c r="U31" s="168">
        <f t="shared" si="20"/>
        <v>110.23350350491192</v>
      </c>
      <c r="V31" s="168">
        <f t="shared" si="20"/>
        <v>106.92649839976457</v>
      </c>
      <c r="W31" s="169">
        <f t="shared" si="20"/>
        <v>103.71870344777163</v>
      </c>
      <c r="X31" s="142" t="s">
        <v>85</v>
      </c>
    </row>
    <row r="32" spans="1:24" ht="15" customHeight="1">
      <c r="A32" s="155" t="s">
        <v>86</v>
      </c>
      <c r="B32" s="187">
        <v>-0.12</v>
      </c>
      <c r="C32" s="188">
        <v>-0.14</v>
      </c>
      <c r="D32" s="189">
        <f t="shared" si="15"/>
        <v>-0.14</v>
      </c>
      <c r="E32" s="188">
        <f t="shared" si="16"/>
        <v>-0.14</v>
      </c>
      <c r="F32" s="159">
        <f t="shared" si="17"/>
        <v>833.7566593811897</v>
      </c>
      <c r="G32" s="160">
        <f t="shared" si="17"/>
        <v>733.705860255447</v>
      </c>
      <c r="H32" s="160">
        <f t="shared" si="17"/>
        <v>645.6611570247933</v>
      </c>
      <c r="I32" s="160">
        <f t="shared" si="17"/>
        <v>568.1818181818181</v>
      </c>
      <c r="J32" s="168">
        <v>500</v>
      </c>
      <c r="K32" s="168">
        <f>1890-K30</f>
        <v>487</v>
      </c>
      <c r="L32" s="190">
        <f>1790-L30</f>
        <v>419</v>
      </c>
      <c r="M32" s="160">
        <f t="shared" si="18"/>
        <v>360.34</v>
      </c>
      <c r="N32" s="160">
        <f t="shared" si="18"/>
        <v>309.89239999999995</v>
      </c>
      <c r="O32" s="168">
        <f t="shared" si="18"/>
        <v>266.50746399999997</v>
      </c>
      <c r="P32" s="168">
        <f t="shared" si="18"/>
        <v>229.19641903999997</v>
      </c>
      <c r="Q32" s="170">
        <f t="shared" si="19"/>
        <v>197.10892037439996</v>
      </c>
      <c r="R32" s="169">
        <f t="shared" si="19"/>
        <v>169.51367152198395</v>
      </c>
      <c r="S32" s="168">
        <f t="shared" si="20"/>
        <v>145.7817575089062</v>
      </c>
      <c r="T32" s="168">
        <f t="shared" si="20"/>
        <v>125.37231145765932</v>
      </c>
      <c r="U32" s="168">
        <f t="shared" si="20"/>
        <v>107.82018785358702</v>
      </c>
      <c r="V32" s="168">
        <f t="shared" si="20"/>
        <v>92.72536155408483</v>
      </c>
      <c r="W32" s="169">
        <f t="shared" si="20"/>
        <v>79.74381093651294</v>
      </c>
      <c r="X32" s="142" t="s">
        <v>87</v>
      </c>
    </row>
    <row r="33" spans="1:24" ht="15" customHeight="1">
      <c r="A33" s="155" t="s">
        <v>88</v>
      </c>
      <c r="B33" s="187">
        <v>0.23</v>
      </c>
      <c r="C33" s="192">
        <v>0.22</v>
      </c>
      <c r="D33" s="421">
        <f>'Input - Hyp CAGR MetaMetaverse'!G12</f>
        <v>0.24</v>
      </c>
      <c r="E33" s="422">
        <f>'Input - Hyp CAGR MetaMetaverse'!H12</f>
        <v>0.24</v>
      </c>
      <c r="F33" s="159">
        <f t="shared" si="17"/>
        <v>458.74236932857957</v>
      </c>
      <c r="G33" s="160">
        <f t="shared" si="17"/>
        <v>564.2531142741528</v>
      </c>
      <c r="H33" s="168">
        <f t="shared" si="17"/>
        <v>694.031330557208</v>
      </c>
      <c r="I33" s="168">
        <f t="shared" si="17"/>
        <v>853.6585365853658</v>
      </c>
      <c r="J33" s="168">
        <v>1050</v>
      </c>
      <c r="K33" s="168">
        <v>1200</v>
      </c>
      <c r="L33" s="190">
        <v>1400</v>
      </c>
      <c r="M33" s="168">
        <f t="shared" si="18"/>
        <v>1708</v>
      </c>
      <c r="N33" s="160">
        <f t="shared" si="18"/>
        <v>2083.7599999999998</v>
      </c>
      <c r="O33" s="168">
        <f t="shared" si="18"/>
        <v>2542.1872</v>
      </c>
      <c r="P33" s="168">
        <f t="shared" si="18"/>
        <v>3101.468384</v>
      </c>
      <c r="Q33" s="170">
        <f t="shared" si="19"/>
        <v>3845.8207961599996</v>
      </c>
      <c r="R33" s="169">
        <f t="shared" si="19"/>
        <v>4768.817787238399</v>
      </c>
      <c r="S33" s="168">
        <f t="shared" si="20"/>
        <v>5913.334056175615</v>
      </c>
      <c r="T33" s="168">
        <f t="shared" si="20"/>
        <v>7332.534229657763</v>
      </c>
      <c r="U33" s="168">
        <f>T33*(1+$E33)</f>
        <v>9092.342444775626</v>
      </c>
      <c r="V33" s="168">
        <f t="shared" si="20"/>
        <v>11274.504631521777</v>
      </c>
      <c r="W33" s="169">
        <f t="shared" si="20"/>
        <v>13980.385743087003</v>
      </c>
      <c r="X33" s="142" t="s">
        <v>89</v>
      </c>
    </row>
    <row r="34" spans="1:24" ht="15" customHeight="1">
      <c r="A34" s="155" t="s">
        <v>90</v>
      </c>
      <c r="B34" s="187">
        <v>0</v>
      </c>
      <c r="C34" s="188">
        <v>0</v>
      </c>
      <c r="D34" s="189">
        <f t="shared" si="15"/>
        <v>0</v>
      </c>
      <c r="E34" s="188">
        <f t="shared" si="16"/>
        <v>0</v>
      </c>
      <c r="F34" s="159">
        <f t="shared" si="17"/>
        <v>220</v>
      </c>
      <c r="G34" s="160">
        <f t="shared" si="17"/>
        <v>220</v>
      </c>
      <c r="H34" s="160">
        <f t="shared" si="17"/>
        <v>220</v>
      </c>
      <c r="I34" s="193">
        <f t="shared" si="17"/>
        <v>220</v>
      </c>
      <c r="J34" s="194">
        <v>220</v>
      </c>
      <c r="K34" s="194">
        <v>225</v>
      </c>
      <c r="L34" s="190">
        <v>230</v>
      </c>
      <c r="M34" s="160">
        <f t="shared" si="18"/>
        <v>230</v>
      </c>
      <c r="N34" s="160">
        <f t="shared" si="18"/>
        <v>230</v>
      </c>
      <c r="O34" s="168">
        <f t="shared" si="18"/>
        <v>230</v>
      </c>
      <c r="P34" s="168">
        <f t="shared" si="18"/>
        <v>230</v>
      </c>
      <c r="Q34" s="170">
        <f t="shared" si="19"/>
        <v>230</v>
      </c>
      <c r="R34" s="169">
        <f t="shared" si="19"/>
        <v>230</v>
      </c>
      <c r="S34" s="168">
        <f t="shared" si="20"/>
        <v>230</v>
      </c>
      <c r="T34" s="168">
        <f t="shared" si="20"/>
        <v>230</v>
      </c>
      <c r="U34" s="168">
        <f t="shared" si="20"/>
        <v>230</v>
      </c>
      <c r="V34" s="168">
        <f t="shared" si="20"/>
        <v>230</v>
      </c>
      <c r="W34" s="169">
        <f t="shared" si="20"/>
        <v>230</v>
      </c>
      <c r="X34" s="142" t="s">
        <v>91</v>
      </c>
    </row>
    <row r="35" spans="1:24" ht="15" customHeight="1">
      <c r="A35" s="155" t="s">
        <v>92</v>
      </c>
      <c r="B35" s="187">
        <v>0.12</v>
      </c>
      <c r="C35" s="188">
        <v>0.04</v>
      </c>
      <c r="D35" s="189">
        <f t="shared" si="15"/>
        <v>0.04</v>
      </c>
      <c r="E35" s="188">
        <f t="shared" si="16"/>
        <v>0.04</v>
      </c>
      <c r="F35" s="159">
        <f t="shared" si="17"/>
        <v>121.38395297532274</v>
      </c>
      <c r="G35" s="160">
        <f t="shared" si="17"/>
        <v>135.9500273323615</v>
      </c>
      <c r="H35" s="160">
        <f t="shared" si="17"/>
        <v>152.26403061224488</v>
      </c>
      <c r="I35" s="160">
        <f t="shared" si="17"/>
        <v>170.53571428571428</v>
      </c>
      <c r="J35" s="168">
        <v>191</v>
      </c>
      <c r="K35" s="168">
        <f>L35/1.12</f>
        <v>214.28571428571428</v>
      </c>
      <c r="L35" s="190">
        <v>240</v>
      </c>
      <c r="M35" s="160">
        <f t="shared" si="18"/>
        <v>249.60000000000002</v>
      </c>
      <c r="N35" s="160">
        <f t="shared" si="18"/>
        <v>259.58400000000006</v>
      </c>
      <c r="O35" s="168">
        <f t="shared" si="18"/>
        <v>269.9673600000001</v>
      </c>
      <c r="P35" s="168">
        <f t="shared" si="18"/>
        <v>280.7660544000001</v>
      </c>
      <c r="Q35" s="170">
        <f t="shared" si="19"/>
        <v>291.9966965760001</v>
      </c>
      <c r="R35" s="169">
        <f t="shared" si="19"/>
        <v>303.6765644390401</v>
      </c>
      <c r="S35" s="168">
        <f t="shared" si="20"/>
        <v>315.8236270166017</v>
      </c>
      <c r="T35" s="168">
        <f t="shared" si="20"/>
        <v>328.45657209726573</v>
      </c>
      <c r="U35" s="168">
        <f t="shared" si="20"/>
        <v>341.5948349811564</v>
      </c>
      <c r="V35" s="168">
        <f t="shared" si="20"/>
        <v>355.2586283804027</v>
      </c>
      <c r="W35" s="169">
        <f t="shared" si="20"/>
        <v>369.4689735156188</v>
      </c>
      <c r="X35" s="142" t="s">
        <v>93</v>
      </c>
    </row>
    <row r="36" spans="1:24" ht="15" customHeight="1">
      <c r="A36" s="155" t="s">
        <v>94</v>
      </c>
      <c r="B36" s="187">
        <v>0.01</v>
      </c>
      <c r="C36" s="188">
        <v>0.05</v>
      </c>
      <c r="D36" s="189">
        <f t="shared" si="15"/>
        <v>0.05</v>
      </c>
      <c r="E36" s="188">
        <f t="shared" si="16"/>
        <v>0.05</v>
      </c>
      <c r="F36" s="159">
        <f t="shared" si="17"/>
        <v>37.08182904273067</v>
      </c>
      <c r="G36" s="160">
        <f t="shared" si="17"/>
        <v>37.45264733315798</v>
      </c>
      <c r="H36" s="160">
        <f t="shared" si="17"/>
        <v>37.827173806489554</v>
      </c>
      <c r="I36" s="160">
        <f t="shared" si="17"/>
        <v>38.20544554455445</v>
      </c>
      <c r="J36" s="168">
        <v>38.5875</v>
      </c>
      <c r="K36" s="168">
        <v>42</v>
      </c>
      <c r="L36" s="190">
        <v>37</v>
      </c>
      <c r="M36" s="160">
        <f t="shared" si="18"/>
        <v>38.85</v>
      </c>
      <c r="N36" s="160">
        <f t="shared" si="18"/>
        <v>40.792500000000004</v>
      </c>
      <c r="O36" s="168">
        <f t="shared" si="18"/>
        <v>42.832125000000005</v>
      </c>
      <c r="P36" s="168">
        <f t="shared" si="18"/>
        <v>44.97373125000001</v>
      </c>
      <c r="Q36" s="170">
        <f t="shared" si="19"/>
        <v>47.22241781250001</v>
      </c>
      <c r="R36" s="169">
        <f t="shared" si="19"/>
        <v>49.583538703125015</v>
      </c>
      <c r="S36" s="168">
        <f t="shared" si="20"/>
        <v>52.06271563828127</v>
      </c>
      <c r="T36" s="168">
        <f t="shared" si="20"/>
        <v>54.66585142019533</v>
      </c>
      <c r="U36" s="168">
        <f t="shared" si="20"/>
        <v>57.3991439912051</v>
      </c>
      <c r="V36" s="168">
        <f t="shared" si="20"/>
        <v>60.26910119076536</v>
      </c>
      <c r="W36" s="169">
        <f t="shared" si="20"/>
        <v>63.282556250303635</v>
      </c>
      <c r="X36" s="142" t="s">
        <v>95</v>
      </c>
    </row>
    <row r="37" spans="1:24" ht="15" customHeight="1">
      <c r="A37" s="155" t="s">
        <v>96</v>
      </c>
      <c r="B37" s="187">
        <v>0</v>
      </c>
      <c r="C37" s="188">
        <v>0</v>
      </c>
      <c r="D37" s="189">
        <f t="shared" si="15"/>
        <v>0</v>
      </c>
      <c r="E37" s="188">
        <f t="shared" si="16"/>
        <v>0</v>
      </c>
      <c r="F37" s="159">
        <f t="shared" si="17"/>
        <v>70</v>
      </c>
      <c r="G37" s="160">
        <f t="shared" si="17"/>
        <v>70</v>
      </c>
      <c r="H37" s="160">
        <f t="shared" si="17"/>
        <v>70</v>
      </c>
      <c r="I37" s="160">
        <f t="shared" si="17"/>
        <v>70</v>
      </c>
      <c r="J37" s="168">
        <v>70</v>
      </c>
      <c r="K37" s="168">
        <v>70</v>
      </c>
      <c r="L37" s="190">
        <v>70</v>
      </c>
      <c r="M37" s="160">
        <f t="shared" si="18"/>
        <v>70</v>
      </c>
      <c r="N37" s="160">
        <f t="shared" si="18"/>
        <v>70</v>
      </c>
      <c r="O37" s="168">
        <f t="shared" si="18"/>
        <v>70</v>
      </c>
      <c r="P37" s="168">
        <f t="shared" si="18"/>
        <v>70</v>
      </c>
      <c r="Q37" s="170">
        <f t="shared" si="19"/>
        <v>70</v>
      </c>
      <c r="R37" s="169">
        <f>Q37*(1+$D37)</f>
        <v>70</v>
      </c>
      <c r="S37" s="168">
        <f t="shared" si="20"/>
        <v>70</v>
      </c>
      <c r="T37" s="168">
        <f t="shared" si="20"/>
        <v>70</v>
      </c>
      <c r="U37" s="168">
        <f t="shared" si="20"/>
        <v>70</v>
      </c>
      <c r="V37" s="168">
        <f t="shared" si="20"/>
        <v>70</v>
      </c>
      <c r="W37" s="169">
        <f t="shared" si="20"/>
        <v>70</v>
      </c>
      <c r="X37" s="142" t="s">
        <v>97</v>
      </c>
    </row>
    <row r="38" spans="1:24" ht="15" customHeight="1">
      <c r="A38" s="155" t="s">
        <v>5</v>
      </c>
      <c r="B38" s="187" t="s">
        <v>98</v>
      </c>
      <c r="C38" s="192">
        <v>0.67</v>
      </c>
      <c r="D38" s="421">
        <f>'Input - Hyp CAGR MetaMetaverse'!G4</f>
        <v>0.61</v>
      </c>
      <c r="E38" s="421">
        <f>'Input - Hyp CAGR MetaMetaverse'!H4</f>
        <v>0.61</v>
      </c>
      <c r="F38" s="159">
        <v>0</v>
      </c>
      <c r="G38" s="160">
        <v>0</v>
      </c>
      <c r="H38" s="160">
        <v>0</v>
      </c>
      <c r="I38" s="160">
        <v>0</v>
      </c>
      <c r="J38" s="168">
        <v>2</v>
      </c>
      <c r="K38" s="168">
        <v>4</v>
      </c>
      <c r="L38" s="190">
        <v>6</v>
      </c>
      <c r="M38" s="160">
        <f t="shared" si="18"/>
        <v>10.02</v>
      </c>
      <c r="N38" s="168">
        <f t="shared" si="18"/>
        <v>16.7334</v>
      </c>
      <c r="O38" s="168">
        <f t="shared" si="18"/>
        <v>27.944778</v>
      </c>
      <c r="P38" s="168">
        <f t="shared" si="18"/>
        <v>46.667779259999996</v>
      </c>
      <c r="Q38" s="170">
        <f t="shared" si="19"/>
        <v>75.1351246086</v>
      </c>
      <c r="R38" s="169">
        <f t="shared" si="19"/>
        <v>120.96755061984598</v>
      </c>
      <c r="S38" s="168">
        <f t="shared" si="20"/>
        <v>194.75775649795202</v>
      </c>
      <c r="T38" s="168">
        <f t="shared" si="20"/>
        <v>313.55998796170275</v>
      </c>
      <c r="U38" s="168">
        <f t="shared" si="20"/>
        <v>504.8315806183414</v>
      </c>
      <c r="V38" s="168">
        <f t="shared" si="20"/>
        <v>812.7788447955296</v>
      </c>
      <c r="W38" s="169">
        <f t="shared" si="20"/>
        <v>1308.5739401208025</v>
      </c>
      <c r="X38" s="142" t="s">
        <v>99</v>
      </c>
    </row>
    <row r="39" spans="1:24" ht="15" customHeight="1">
      <c r="A39" s="155" t="s">
        <v>33</v>
      </c>
      <c r="B39" s="187" t="s">
        <v>98</v>
      </c>
      <c r="C39" s="192">
        <v>0.19</v>
      </c>
      <c r="D39" s="189">
        <f t="shared" si="15"/>
        <v>0.19</v>
      </c>
      <c r="E39" s="188">
        <f t="shared" si="16"/>
        <v>0.19</v>
      </c>
      <c r="F39" s="159">
        <v>0</v>
      </c>
      <c r="G39" s="160">
        <v>0</v>
      </c>
      <c r="H39" s="160">
        <v>0</v>
      </c>
      <c r="I39" s="160">
        <v>0</v>
      </c>
      <c r="J39" s="168">
        <v>80</v>
      </c>
      <c r="K39" s="168">
        <v>125</v>
      </c>
      <c r="L39" s="190">
        <v>140</v>
      </c>
      <c r="M39" s="160">
        <f t="shared" si="18"/>
        <v>166.6</v>
      </c>
      <c r="N39" s="168">
        <f t="shared" si="18"/>
        <v>198.254</v>
      </c>
      <c r="O39" s="168">
        <f t="shared" si="18"/>
        <v>235.92225999999997</v>
      </c>
      <c r="P39" s="168">
        <f t="shared" si="18"/>
        <v>280.74748939999995</v>
      </c>
      <c r="Q39" s="170">
        <f t="shared" si="19"/>
        <v>334.0895123859999</v>
      </c>
      <c r="R39" s="169">
        <f t="shared" si="19"/>
        <v>397.56651973933987</v>
      </c>
      <c r="S39" s="168">
        <f t="shared" si="20"/>
        <v>473.10415848981444</v>
      </c>
      <c r="T39" s="168">
        <f t="shared" si="20"/>
        <v>562.9939486028792</v>
      </c>
      <c r="U39" s="168">
        <f t="shared" si="20"/>
        <v>669.9627988374262</v>
      </c>
      <c r="V39" s="168">
        <f t="shared" si="20"/>
        <v>797.2557306165372</v>
      </c>
      <c r="W39" s="169">
        <f t="shared" si="20"/>
        <v>948.7343194336793</v>
      </c>
      <c r="X39" s="142" t="s">
        <v>100</v>
      </c>
    </row>
    <row r="40" spans="1:24" ht="15" customHeight="1">
      <c r="A40" s="155" t="s">
        <v>101</v>
      </c>
      <c r="B40" s="187" t="s">
        <v>98</v>
      </c>
      <c r="C40" s="192">
        <v>0.1</v>
      </c>
      <c r="D40" s="189">
        <f t="shared" si="15"/>
        <v>0.1</v>
      </c>
      <c r="E40" s="188">
        <f t="shared" si="16"/>
        <v>0.1</v>
      </c>
      <c r="F40" s="159">
        <v>0</v>
      </c>
      <c r="G40" s="160">
        <v>2.5</v>
      </c>
      <c r="H40" s="160">
        <v>2.7</v>
      </c>
      <c r="I40" s="160">
        <v>3</v>
      </c>
      <c r="J40" s="168">
        <v>3.2</v>
      </c>
      <c r="K40" s="168">
        <v>3.5</v>
      </c>
      <c r="L40" s="190">
        <v>3.8</v>
      </c>
      <c r="M40" s="160">
        <f t="shared" si="18"/>
        <v>4.18</v>
      </c>
      <c r="N40" s="168">
        <f t="shared" si="18"/>
        <v>4.598</v>
      </c>
      <c r="O40" s="168">
        <f t="shared" si="18"/>
        <v>5.0578</v>
      </c>
      <c r="P40" s="168">
        <f t="shared" si="18"/>
        <v>5.563580000000001</v>
      </c>
      <c r="Q40" s="170">
        <f t="shared" si="19"/>
        <v>6.119938000000001</v>
      </c>
      <c r="R40" s="169">
        <f t="shared" si="19"/>
        <v>6.731931800000002</v>
      </c>
      <c r="S40" s="168">
        <f t="shared" si="20"/>
        <v>7.405124980000003</v>
      </c>
      <c r="T40" s="168">
        <f t="shared" si="20"/>
        <v>8.145637478000003</v>
      </c>
      <c r="U40" s="168">
        <f t="shared" si="20"/>
        <v>8.960201225800004</v>
      </c>
      <c r="V40" s="168">
        <f t="shared" si="20"/>
        <v>9.856221348380005</v>
      </c>
      <c r="W40" s="169">
        <f t="shared" si="20"/>
        <v>10.841843483218007</v>
      </c>
      <c r="X40" s="142" t="s">
        <v>102</v>
      </c>
    </row>
    <row r="41" spans="1:24" ht="15" customHeight="1">
      <c r="A41" s="155" t="s">
        <v>16</v>
      </c>
      <c r="B41" s="195" t="s">
        <v>98</v>
      </c>
      <c r="C41" s="196">
        <v>0.26</v>
      </c>
      <c r="D41" s="421">
        <f>'Input - Hyp CAGR MetaMetaverse'!G20</f>
        <v>0.28</v>
      </c>
      <c r="E41" s="422">
        <f>'Input - Hyp CAGR MetaMetaverse'!H20</f>
        <v>0.28</v>
      </c>
      <c r="F41" s="159">
        <v>0</v>
      </c>
      <c r="G41" s="160">
        <v>1</v>
      </c>
      <c r="H41" s="160">
        <v>3</v>
      </c>
      <c r="I41" s="160">
        <v>5</v>
      </c>
      <c r="J41" s="168">
        <v>10</v>
      </c>
      <c r="K41" s="168">
        <v>16</v>
      </c>
      <c r="L41" s="190">
        <v>25</v>
      </c>
      <c r="M41" s="160">
        <f t="shared" si="18"/>
        <v>31.5</v>
      </c>
      <c r="N41" s="168">
        <f t="shared" si="18"/>
        <v>39.69</v>
      </c>
      <c r="O41" s="168">
        <f t="shared" si="18"/>
        <v>50.0094</v>
      </c>
      <c r="P41" s="168">
        <f t="shared" si="18"/>
        <v>63.011843999999996</v>
      </c>
      <c r="Q41" s="170">
        <f t="shared" si="19"/>
        <v>80.65516032</v>
      </c>
      <c r="R41" s="169">
        <f t="shared" si="19"/>
        <v>103.2386052096</v>
      </c>
      <c r="S41" s="168">
        <f t="shared" si="20"/>
        <v>132.145414668288</v>
      </c>
      <c r="T41" s="168">
        <f t="shared" si="20"/>
        <v>169.14613077540864</v>
      </c>
      <c r="U41" s="168">
        <f t="shared" si="20"/>
        <v>216.50704739252305</v>
      </c>
      <c r="V41" s="168">
        <f t="shared" si="20"/>
        <v>277.1290206624295</v>
      </c>
      <c r="W41" s="169">
        <f t="shared" si="20"/>
        <v>354.7251464479098</v>
      </c>
      <c r="X41" s="142" t="s">
        <v>103</v>
      </c>
    </row>
    <row r="42" spans="1:24" ht="15" customHeight="1">
      <c r="A42" s="197" t="s">
        <v>104</v>
      </c>
      <c r="B42" s="198"/>
      <c r="C42" s="199"/>
      <c r="D42" s="199"/>
      <c r="E42" s="200"/>
      <c r="F42" s="201">
        <f>SUM(F25:F41)</f>
        <v>3747.2117094522746</v>
      </c>
      <c r="G42" s="202">
        <f aca="true" t="shared" si="21" ref="G42:W42">SUM(G25:G41)</f>
        <v>3832.906765100067</v>
      </c>
      <c r="H42" s="202">
        <f t="shared" si="21"/>
        <v>3962.685696648787</v>
      </c>
      <c r="I42" s="202">
        <f t="shared" si="21"/>
        <v>4142.6428255323435</v>
      </c>
      <c r="J42" s="203">
        <f t="shared" si="21"/>
        <v>4463.787499999999</v>
      </c>
      <c r="K42" s="203">
        <f t="shared" si="21"/>
        <v>4622.335714285715</v>
      </c>
      <c r="L42" s="204">
        <f t="shared" si="21"/>
        <v>4776.96125</v>
      </c>
      <c r="M42" s="202">
        <f t="shared" si="21"/>
        <v>4994.458025000002</v>
      </c>
      <c r="N42" s="203">
        <f t="shared" si="21"/>
        <v>5422.355264499998</v>
      </c>
      <c r="O42" s="203">
        <f t="shared" si="21"/>
        <v>5954.998263209999</v>
      </c>
      <c r="P42" s="203">
        <f t="shared" si="21"/>
        <v>6614.372711405799</v>
      </c>
      <c r="Q42" s="205">
        <f t="shared" si="21"/>
        <v>7489.476965609582</v>
      </c>
      <c r="R42" s="206">
        <f t="shared" si="21"/>
        <v>8582.775895043413</v>
      </c>
      <c r="S42" s="203">
        <f t="shared" si="21"/>
        <v>9927.487836887072</v>
      </c>
      <c r="T42" s="203">
        <f t="shared" si="21"/>
        <v>11619.196457862688</v>
      </c>
      <c r="U42" s="203">
        <f t="shared" si="21"/>
        <v>13755.853998634293</v>
      </c>
      <c r="V42" s="203">
        <f t="shared" si="21"/>
        <v>16469.203419684272</v>
      </c>
      <c r="W42" s="206">
        <f t="shared" si="21"/>
        <v>19939.05962460048</v>
      </c>
      <c r="X42" s="142"/>
    </row>
    <row r="43" spans="1:23" ht="15" customHeight="1">
      <c r="A43" s="207"/>
      <c r="B43" s="207"/>
      <c r="C43" s="207"/>
      <c r="D43" s="207"/>
      <c r="E43" s="207"/>
      <c r="F43" s="142"/>
      <c r="G43" s="142"/>
      <c r="H43" s="142"/>
      <c r="I43" s="142"/>
      <c r="J43" s="142"/>
      <c r="K43" s="142"/>
      <c r="L43" s="142"/>
      <c r="M43" s="208"/>
      <c r="N43" s="208"/>
      <c r="O43" s="208"/>
      <c r="P43" s="208"/>
      <c r="Q43" s="208"/>
      <c r="R43" s="208"/>
      <c r="S43" s="208"/>
      <c r="T43" s="208"/>
      <c r="U43" s="208"/>
      <c r="V43" s="208"/>
      <c r="W43" s="208"/>
    </row>
    <row r="44" spans="1:23" ht="15" customHeight="1">
      <c r="A44" s="207"/>
      <c r="B44" s="207"/>
      <c r="C44" s="207"/>
      <c r="D44" s="207"/>
      <c r="E44" s="207"/>
      <c r="F44" s="142"/>
      <c r="G44" s="142"/>
      <c r="H44" s="142"/>
      <c r="I44" s="142"/>
      <c r="J44" s="142"/>
      <c r="K44" s="142"/>
      <c r="L44" s="142"/>
      <c r="M44" s="208"/>
      <c r="N44" s="208"/>
      <c r="O44" s="208"/>
      <c r="P44" s="208"/>
      <c r="Q44" s="208"/>
      <c r="R44" s="208"/>
      <c r="S44" s="208"/>
      <c r="T44" s="208"/>
      <c r="U44" s="208"/>
      <c r="V44" s="208"/>
      <c r="W44" s="208"/>
    </row>
    <row r="45" spans="1:23" ht="42.75">
      <c r="A45" s="151" t="s">
        <v>105</v>
      </c>
      <c r="B45" s="153" t="s">
        <v>354</v>
      </c>
      <c r="C45" s="154" t="s">
        <v>71</v>
      </c>
      <c r="D45" s="153" t="s">
        <v>72</v>
      </c>
      <c r="E45" s="154" t="s">
        <v>73</v>
      </c>
      <c r="F45" s="153">
        <v>2013</v>
      </c>
      <c r="G45" s="152">
        <v>2014</v>
      </c>
      <c r="H45" s="152">
        <v>2015</v>
      </c>
      <c r="I45" s="152">
        <v>2016</v>
      </c>
      <c r="J45" s="152">
        <v>2017</v>
      </c>
      <c r="K45" s="152">
        <v>2018</v>
      </c>
      <c r="L45" s="152">
        <v>2019</v>
      </c>
      <c r="M45" s="152">
        <v>2020</v>
      </c>
      <c r="N45" s="152">
        <v>2021</v>
      </c>
      <c r="O45" s="152">
        <v>2022</v>
      </c>
      <c r="P45" s="152">
        <v>2023</v>
      </c>
      <c r="Q45" s="153">
        <v>2024</v>
      </c>
      <c r="R45" s="154">
        <v>2025</v>
      </c>
      <c r="S45" s="153">
        <v>2026</v>
      </c>
      <c r="T45" s="152">
        <v>2027</v>
      </c>
      <c r="U45" s="152">
        <v>2028</v>
      </c>
      <c r="V45" s="152">
        <v>2029</v>
      </c>
      <c r="W45" s="154">
        <v>2030</v>
      </c>
    </row>
    <row r="46" spans="1:24" ht="15" customHeight="1">
      <c r="A46" s="155" t="s">
        <v>74</v>
      </c>
      <c r="B46" s="209">
        <v>0</v>
      </c>
      <c r="C46" s="210">
        <v>-0.01</v>
      </c>
      <c r="D46" s="209">
        <f aca="true" t="shared" si="22" ref="D46:D61">C46</f>
        <v>-0.01</v>
      </c>
      <c r="E46" s="210">
        <f aca="true" t="shared" si="23" ref="E46:E61">C46</f>
        <v>-0.01</v>
      </c>
      <c r="F46" s="159">
        <f aca="true" t="shared" si="24" ref="F46:K101">G46/(1+$B46)</f>
        <v>450</v>
      </c>
      <c r="G46" s="160">
        <f t="shared" si="24"/>
        <v>450</v>
      </c>
      <c r="H46" s="160">
        <f t="shared" si="24"/>
        <v>450</v>
      </c>
      <c r="I46" s="160">
        <f t="shared" si="24"/>
        <v>450</v>
      </c>
      <c r="J46" s="160">
        <f t="shared" si="24"/>
        <v>450</v>
      </c>
      <c r="K46" s="160">
        <f>L46/(1+$B46)</f>
        <v>450</v>
      </c>
      <c r="L46" s="190">
        <v>450</v>
      </c>
      <c r="M46" s="160">
        <f aca="true" t="shared" si="25" ref="M46:P100">L46*(1+$C46)</f>
        <v>445.5</v>
      </c>
      <c r="N46" s="160">
        <f t="shared" si="25"/>
        <v>441.045</v>
      </c>
      <c r="O46" s="160">
        <f t="shared" si="25"/>
        <v>436.63455</v>
      </c>
      <c r="P46" s="160">
        <f t="shared" si="25"/>
        <v>432.26820449999997</v>
      </c>
      <c r="Q46" s="159">
        <f aca="true" t="shared" si="26" ref="Q46:R101">P46*(1+$D46)</f>
        <v>427.94552245499995</v>
      </c>
      <c r="R46" s="161">
        <f>Q46*(1+$D46)</f>
        <v>423.6660672304499</v>
      </c>
      <c r="S46" s="159">
        <f aca="true" t="shared" si="27" ref="S46:W101">R46*(1+$E46)</f>
        <v>419.42940655814544</v>
      </c>
      <c r="T46" s="160">
        <f aca="true" t="shared" si="28" ref="T46:W46">S46*(1+$E46)</f>
        <v>415.235112492564</v>
      </c>
      <c r="U46" s="160">
        <f t="shared" si="28"/>
        <v>411.08276136763834</v>
      </c>
      <c r="V46" s="160">
        <f t="shared" si="28"/>
        <v>406.97193375396193</v>
      </c>
      <c r="W46" s="161">
        <f t="shared" si="28"/>
        <v>402.90221441642234</v>
      </c>
      <c r="X46" s="142" t="s">
        <v>106</v>
      </c>
    </row>
    <row r="47" spans="1:24" ht="15" customHeight="1">
      <c r="A47" s="155" t="s">
        <v>76</v>
      </c>
      <c r="B47" s="209">
        <v>0.04</v>
      </c>
      <c r="C47" s="210">
        <v>0.04</v>
      </c>
      <c r="D47" s="209">
        <f t="shared" si="22"/>
        <v>0.04</v>
      </c>
      <c r="E47" s="210">
        <f t="shared" si="23"/>
        <v>0.04</v>
      </c>
      <c r="F47" s="159">
        <f t="shared" si="24"/>
        <v>331.9321008066612</v>
      </c>
      <c r="G47" s="160">
        <f t="shared" si="24"/>
        <v>345.20938483892763</v>
      </c>
      <c r="H47" s="160">
        <f t="shared" si="24"/>
        <v>359.01776023248476</v>
      </c>
      <c r="I47" s="160">
        <f t="shared" si="24"/>
        <v>373.3784706417842</v>
      </c>
      <c r="J47" s="160">
        <f t="shared" si="24"/>
        <v>388.3136094674556</v>
      </c>
      <c r="K47" s="160">
        <f t="shared" si="24"/>
        <v>403.8461538461538</v>
      </c>
      <c r="L47" s="190">
        <v>420</v>
      </c>
      <c r="M47" s="160">
        <f t="shared" si="25"/>
        <v>436.8</v>
      </c>
      <c r="N47" s="160">
        <f t="shared" si="25"/>
        <v>454.27200000000005</v>
      </c>
      <c r="O47" s="160">
        <f t="shared" si="25"/>
        <v>472.44288000000006</v>
      </c>
      <c r="P47" s="160">
        <f t="shared" si="25"/>
        <v>491.34059520000005</v>
      </c>
      <c r="Q47" s="159">
        <f t="shared" si="26"/>
        <v>510.9942190080001</v>
      </c>
      <c r="R47" s="161">
        <f t="shared" si="26"/>
        <v>531.4339877683201</v>
      </c>
      <c r="S47" s="159">
        <f t="shared" si="27"/>
        <v>552.6913472790529</v>
      </c>
      <c r="T47" s="160">
        <f t="shared" si="27"/>
        <v>574.7990011702151</v>
      </c>
      <c r="U47" s="160">
        <f t="shared" si="27"/>
        <v>597.7909612170237</v>
      </c>
      <c r="V47" s="160">
        <f t="shared" si="27"/>
        <v>621.7025996657046</v>
      </c>
      <c r="W47" s="161">
        <f t="shared" si="27"/>
        <v>646.5707036523328</v>
      </c>
      <c r="X47" s="142" t="s">
        <v>106</v>
      </c>
    </row>
    <row r="48" spans="1:27" ht="15" customHeight="1">
      <c r="A48" s="155" t="s">
        <v>78</v>
      </c>
      <c r="B48" s="209">
        <v>0</v>
      </c>
      <c r="C48" s="210">
        <v>-0.01</v>
      </c>
      <c r="D48" s="209">
        <f t="shared" si="22"/>
        <v>-0.01</v>
      </c>
      <c r="E48" s="210">
        <f t="shared" si="23"/>
        <v>-0.01</v>
      </c>
      <c r="F48" s="159">
        <f t="shared" si="24"/>
        <v>400</v>
      </c>
      <c r="G48" s="160">
        <f t="shared" si="24"/>
        <v>400</v>
      </c>
      <c r="H48" s="160">
        <f t="shared" si="24"/>
        <v>400</v>
      </c>
      <c r="I48" s="160">
        <f t="shared" si="24"/>
        <v>400</v>
      </c>
      <c r="J48" s="160">
        <f t="shared" si="24"/>
        <v>400</v>
      </c>
      <c r="K48" s="160">
        <f t="shared" si="24"/>
        <v>400</v>
      </c>
      <c r="L48" s="190">
        <v>400</v>
      </c>
      <c r="M48" s="160">
        <f t="shared" si="25"/>
        <v>396</v>
      </c>
      <c r="N48" s="160">
        <f t="shared" si="25"/>
        <v>392.04</v>
      </c>
      <c r="O48" s="160">
        <f t="shared" si="25"/>
        <v>388.1196</v>
      </c>
      <c r="P48" s="160">
        <f t="shared" si="25"/>
        <v>384.238404</v>
      </c>
      <c r="Q48" s="159">
        <f t="shared" si="26"/>
        <v>380.39601996</v>
      </c>
      <c r="R48" s="161">
        <f t="shared" si="26"/>
        <v>376.5920597604</v>
      </c>
      <c r="S48" s="159">
        <f t="shared" si="27"/>
        <v>372.826139162796</v>
      </c>
      <c r="T48" s="160">
        <f t="shared" si="27"/>
        <v>369.09787777116804</v>
      </c>
      <c r="U48" s="160">
        <f t="shared" si="27"/>
        <v>365.40689899345637</v>
      </c>
      <c r="V48" s="160">
        <f t="shared" si="27"/>
        <v>361.7528300035218</v>
      </c>
      <c r="W48" s="161">
        <f t="shared" si="27"/>
        <v>358.13530170348656</v>
      </c>
      <c r="X48" s="142" t="s">
        <v>107</v>
      </c>
      <c r="Y48" s="142"/>
      <c r="Z48" s="142"/>
      <c r="AA48" s="142"/>
    </row>
    <row r="49" spans="1:24" ht="15" customHeight="1">
      <c r="A49" s="155" t="s">
        <v>79</v>
      </c>
      <c r="B49" s="209">
        <v>0.02</v>
      </c>
      <c r="C49" s="210">
        <v>0.01</v>
      </c>
      <c r="D49" s="209">
        <f t="shared" si="22"/>
        <v>0.01</v>
      </c>
      <c r="E49" s="210">
        <f t="shared" si="23"/>
        <v>0.01</v>
      </c>
      <c r="F49" s="159">
        <f t="shared" si="24"/>
        <v>221.992845546548</v>
      </c>
      <c r="G49" s="160">
        <f t="shared" si="24"/>
        <v>226.43270245747897</v>
      </c>
      <c r="H49" s="160">
        <f t="shared" si="24"/>
        <v>230.96135650662856</v>
      </c>
      <c r="I49" s="160">
        <f t="shared" si="24"/>
        <v>235.58058363676113</v>
      </c>
      <c r="J49" s="160">
        <f t="shared" si="24"/>
        <v>240.29219530949635</v>
      </c>
      <c r="K49" s="160">
        <f t="shared" si="24"/>
        <v>245.09803921568627</v>
      </c>
      <c r="L49" s="171">
        <v>250</v>
      </c>
      <c r="M49" s="160">
        <f t="shared" si="25"/>
        <v>252.5</v>
      </c>
      <c r="N49" s="160">
        <f t="shared" si="25"/>
        <v>255.025</v>
      </c>
      <c r="O49" s="160">
        <f t="shared" si="25"/>
        <v>257.57525</v>
      </c>
      <c r="P49" s="160">
        <f t="shared" si="25"/>
        <v>260.1510025</v>
      </c>
      <c r="Q49" s="159">
        <f t="shared" si="26"/>
        <v>262.752512525</v>
      </c>
      <c r="R49" s="161">
        <f t="shared" si="26"/>
        <v>265.38003765024996</v>
      </c>
      <c r="S49" s="159">
        <f t="shared" si="27"/>
        <v>268.03383802675245</v>
      </c>
      <c r="T49" s="160">
        <f t="shared" si="27"/>
        <v>270.71417640702</v>
      </c>
      <c r="U49" s="160">
        <f t="shared" si="27"/>
        <v>273.4213181710902</v>
      </c>
      <c r="V49" s="160">
        <f t="shared" si="27"/>
        <v>276.1555313528011</v>
      </c>
      <c r="W49" s="161">
        <f t="shared" si="27"/>
        <v>278.9170866663291</v>
      </c>
      <c r="X49" s="142" t="s">
        <v>108</v>
      </c>
    </row>
    <row r="50" spans="1:24" ht="15" customHeight="1">
      <c r="A50" s="155" t="s">
        <v>81</v>
      </c>
      <c r="B50" s="209">
        <v>-0.01</v>
      </c>
      <c r="C50" s="210">
        <v>-0.02</v>
      </c>
      <c r="D50" s="209">
        <f t="shared" si="22"/>
        <v>-0.02</v>
      </c>
      <c r="E50" s="210">
        <f t="shared" si="23"/>
        <v>-0.02</v>
      </c>
      <c r="F50" s="159">
        <f t="shared" si="24"/>
        <v>106.21572856700507</v>
      </c>
      <c r="G50" s="160">
        <f t="shared" si="24"/>
        <v>105.15357128133502</v>
      </c>
      <c r="H50" s="160">
        <f t="shared" si="24"/>
        <v>104.10203556852167</v>
      </c>
      <c r="I50" s="160">
        <f t="shared" si="24"/>
        <v>103.06101521283645</v>
      </c>
      <c r="J50" s="160">
        <f t="shared" si="24"/>
        <v>102.03040506070809</v>
      </c>
      <c r="K50" s="168">
        <f t="shared" si="24"/>
        <v>101.01010101010101</v>
      </c>
      <c r="L50" s="171">
        <v>100</v>
      </c>
      <c r="M50" s="160">
        <f t="shared" si="25"/>
        <v>98</v>
      </c>
      <c r="N50" s="160">
        <f t="shared" si="25"/>
        <v>96.03999999999999</v>
      </c>
      <c r="O50" s="160">
        <f t="shared" si="25"/>
        <v>94.11919999999999</v>
      </c>
      <c r="P50" s="160">
        <f t="shared" si="25"/>
        <v>92.23681599999999</v>
      </c>
      <c r="Q50" s="159">
        <f t="shared" si="26"/>
        <v>90.39207968</v>
      </c>
      <c r="R50" s="161">
        <f t="shared" si="26"/>
        <v>88.58423808639999</v>
      </c>
      <c r="S50" s="159">
        <f t="shared" si="27"/>
        <v>86.812553324672</v>
      </c>
      <c r="T50" s="160">
        <f t="shared" si="27"/>
        <v>85.07630225817856</v>
      </c>
      <c r="U50" s="160">
        <f t="shared" si="27"/>
        <v>83.37477621301498</v>
      </c>
      <c r="V50" s="160">
        <f t="shared" si="27"/>
        <v>81.70728068875468</v>
      </c>
      <c r="W50" s="161">
        <f t="shared" si="27"/>
        <v>80.07313507497959</v>
      </c>
      <c r="X50" s="142" t="s">
        <v>109</v>
      </c>
    </row>
    <row r="51" spans="1:24" ht="15" customHeight="1">
      <c r="A51" s="155" t="s">
        <v>30</v>
      </c>
      <c r="B51" s="209">
        <v>0.1</v>
      </c>
      <c r="C51" s="210">
        <v>0.05</v>
      </c>
      <c r="D51" s="209">
        <f t="shared" si="22"/>
        <v>0.05</v>
      </c>
      <c r="E51" s="210">
        <f t="shared" si="23"/>
        <v>0.05</v>
      </c>
      <c r="F51" s="159">
        <f t="shared" si="24"/>
        <v>47.980284054571065</v>
      </c>
      <c r="G51" s="160">
        <f t="shared" si="24"/>
        <v>52.778312460028175</v>
      </c>
      <c r="H51" s="160">
        <f t="shared" si="24"/>
        <v>58.056143706030994</v>
      </c>
      <c r="I51" s="160">
        <f t="shared" si="24"/>
        <v>63.861758076634096</v>
      </c>
      <c r="J51" s="160">
        <f t="shared" si="24"/>
        <v>70.24793388429751</v>
      </c>
      <c r="K51" s="160">
        <f t="shared" si="24"/>
        <v>77.27272727272727</v>
      </c>
      <c r="L51" s="190">
        <v>85</v>
      </c>
      <c r="M51" s="160">
        <f t="shared" si="25"/>
        <v>89.25</v>
      </c>
      <c r="N51" s="160">
        <f t="shared" si="25"/>
        <v>93.7125</v>
      </c>
      <c r="O51" s="160">
        <f t="shared" si="25"/>
        <v>98.39812500000001</v>
      </c>
      <c r="P51" s="160">
        <f t="shared" si="25"/>
        <v>103.31803125000002</v>
      </c>
      <c r="Q51" s="159">
        <f t="shared" si="26"/>
        <v>108.48393281250003</v>
      </c>
      <c r="R51" s="161">
        <f t="shared" si="26"/>
        <v>113.90812945312504</v>
      </c>
      <c r="S51" s="159">
        <f t="shared" si="27"/>
        <v>119.6035359257813</v>
      </c>
      <c r="T51" s="160">
        <f t="shared" si="27"/>
        <v>125.58371272207037</v>
      </c>
      <c r="U51" s="160">
        <f t="shared" si="27"/>
        <v>131.8628983581739</v>
      </c>
      <c r="V51" s="160">
        <f t="shared" si="27"/>
        <v>138.4560432760826</v>
      </c>
      <c r="W51" s="161">
        <f t="shared" si="27"/>
        <v>145.37884543988673</v>
      </c>
      <c r="X51" s="142" t="s">
        <v>110</v>
      </c>
    </row>
    <row r="52" spans="1:24" ht="15" customHeight="1">
      <c r="A52" s="155" t="s">
        <v>84</v>
      </c>
      <c r="B52" s="209">
        <v>0.1</v>
      </c>
      <c r="C52" s="210">
        <v>0.05</v>
      </c>
      <c r="D52" s="209">
        <f t="shared" si="22"/>
        <v>0.05</v>
      </c>
      <c r="E52" s="210">
        <f t="shared" si="23"/>
        <v>0.05</v>
      </c>
      <c r="F52" s="159">
        <f t="shared" si="24"/>
        <v>112.89478601075544</v>
      </c>
      <c r="G52" s="160">
        <f t="shared" si="24"/>
        <v>124.184264611831</v>
      </c>
      <c r="H52" s="160">
        <f t="shared" si="24"/>
        <v>136.6026910730141</v>
      </c>
      <c r="I52" s="160">
        <f t="shared" si="24"/>
        <v>150.26296018031553</v>
      </c>
      <c r="J52" s="160">
        <f t="shared" si="24"/>
        <v>165.2892561983471</v>
      </c>
      <c r="K52" s="160">
        <f t="shared" si="24"/>
        <v>181.8181818181818</v>
      </c>
      <c r="L52" s="190">
        <v>200</v>
      </c>
      <c r="M52" s="160">
        <f t="shared" si="25"/>
        <v>210</v>
      </c>
      <c r="N52" s="160">
        <f t="shared" si="25"/>
        <v>220.5</v>
      </c>
      <c r="O52" s="160">
        <f t="shared" si="25"/>
        <v>231.525</v>
      </c>
      <c r="P52" s="160">
        <f t="shared" si="25"/>
        <v>243.10125000000002</v>
      </c>
      <c r="Q52" s="159">
        <f t="shared" si="26"/>
        <v>255.25631250000004</v>
      </c>
      <c r="R52" s="161">
        <f t="shared" si="26"/>
        <v>268.01912812500007</v>
      </c>
      <c r="S52" s="159">
        <f t="shared" si="27"/>
        <v>281.4200845312501</v>
      </c>
      <c r="T52" s="160">
        <f t="shared" si="27"/>
        <v>295.49108875781263</v>
      </c>
      <c r="U52" s="160">
        <f t="shared" si="27"/>
        <v>310.26564319570326</v>
      </c>
      <c r="V52" s="160">
        <f t="shared" si="27"/>
        <v>325.7789253554884</v>
      </c>
      <c r="W52" s="161">
        <f t="shared" si="27"/>
        <v>342.0678716232629</v>
      </c>
      <c r="X52" s="142" t="s">
        <v>110</v>
      </c>
    </row>
    <row r="53" spans="1:24" ht="15" customHeight="1">
      <c r="A53" s="155" t="s">
        <v>86</v>
      </c>
      <c r="B53" s="209">
        <v>0</v>
      </c>
      <c r="C53" s="210">
        <v>0</v>
      </c>
      <c r="D53" s="209">
        <f t="shared" si="22"/>
        <v>0</v>
      </c>
      <c r="E53" s="210">
        <f t="shared" si="23"/>
        <v>0</v>
      </c>
      <c r="F53" s="159">
        <f t="shared" si="24"/>
        <v>20</v>
      </c>
      <c r="G53" s="160">
        <f t="shared" si="24"/>
        <v>20</v>
      </c>
      <c r="H53" s="160">
        <f t="shared" si="24"/>
        <v>20</v>
      </c>
      <c r="I53" s="160">
        <f t="shared" si="24"/>
        <v>20</v>
      </c>
      <c r="J53" s="160">
        <f t="shared" si="24"/>
        <v>20</v>
      </c>
      <c r="K53" s="160">
        <f t="shared" si="24"/>
        <v>20</v>
      </c>
      <c r="L53" s="171">
        <v>20</v>
      </c>
      <c r="M53" s="160">
        <f t="shared" si="25"/>
        <v>20</v>
      </c>
      <c r="N53" s="160">
        <f t="shared" si="25"/>
        <v>20</v>
      </c>
      <c r="O53" s="160">
        <f t="shared" si="25"/>
        <v>20</v>
      </c>
      <c r="P53" s="160">
        <f t="shared" si="25"/>
        <v>20</v>
      </c>
      <c r="Q53" s="159">
        <f t="shared" si="26"/>
        <v>20</v>
      </c>
      <c r="R53" s="161">
        <f t="shared" si="26"/>
        <v>20</v>
      </c>
      <c r="S53" s="159">
        <f t="shared" si="27"/>
        <v>20</v>
      </c>
      <c r="T53" s="160">
        <f t="shared" si="27"/>
        <v>20</v>
      </c>
      <c r="U53" s="160">
        <f t="shared" si="27"/>
        <v>20</v>
      </c>
      <c r="V53" s="160">
        <f t="shared" si="27"/>
        <v>20</v>
      </c>
      <c r="W53" s="161">
        <f t="shared" si="27"/>
        <v>20</v>
      </c>
      <c r="X53" s="142" t="s">
        <v>111</v>
      </c>
    </row>
    <row r="54" spans="1:24" ht="15" customHeight="1">
      <c r="A54" s="212" t="s">
        <v>88</v>
      </c>
      <c r="B54" s="213">
        <v>0.05</v>
      </c>
      <c r="C54" s="214">
        <v>0.05</v>
      </c>
      <c r="D54" s="423">
        <f>'Input - Hyp CAGR MetaMetaverse'!G13</f>
        <v>0.4</v>
      </c>
      <c r="E54" s="424">
        <f>'Input - Hyp CAGR MetaMetaverse'!H13</f>
        <v>0.34590019263235616</v>
      </c>
      <c r="F54" s="159">
        <f t="shared" si="24"/>
        <v>1.1193230949549413</v>
      </c>
      <c r="G54" s="160">
        <f t="shared" si="24"/>
        <v>1.1752892497026883</v>
      </c>
      <c r="H54" s="160">
        <f t="shared" si="24"/>
        <v>1.2340537121878228</v>
      </c>
      <c r="I54" s="160">
        <f t="shared" si="24"/>
        <v>1.295756397797214</v>
      </c>
      <c r="J54" s="160">
        <f t="shared" si="24"/>
        <v>1.3605442176870748</v>
      </c>
      <c r="K54" s="160">
        <f t="shared" si="24"/>
        <v>1.4285714285714286</v>
      </c>
      <c r="L54" s="171">
        <f>5*0.3</f>
        <v>1.5</v>
      </c>
      <c r="M54" s="160">
        <f t="shared" si="25"/>
        <v>1.5750000000000002</v>
      </c>
      <c r="N54" s="160">
        <f t="shared" si="25"/>
        <v>1.6537500000000003</v>
      </c>
      <c r="O54" s="160">
        <f t="shared" si="25"/>
        <v>1.7364375000000003</v>
      </c>
      <c r="P54" s="160">
        <f t="shared" si="25"/>
        <v>1.8232593750000003</v>
      </c>
      <c r="Q54" s="159">
        <f t="shared" si="26"/>
        <v>2.5525631250000003</v>
      </c>
      <c r="R54" s="161">
        <f t="shared" si="26"/>
        <v>3.573588375</v>
      </c>
      <c r="S54" s="159">
        <f t="shared" si="27"/>
        <v>4.809693282301248</v>
      </c>
      <c r="T54" s="160">
        <f t="shared" si="27"/>
        <v>6.4733671151518</v>
      </c>
      <c r="U54" s="160">
        <f t="shared" si="27"/>
        <v>8.712506047262767</v>
      </c>
      <c r="V54" s="160">
        <f t="shared" si="27"/>
        <v>11.726163567321526</v>
      </c>
      <c r="W54" s="161">
        <f t="shared" si="27"/>
        <v>15.78224580409656</v>
      </c>
      <c r="X54" s="142" t="s">
        <v>112</v>
      </c>
    </row>
    <row r="55" spans="1:24" ht="15" customHeight="1">
      <c r="A55" s="155" t="s">
        <v>90</v>
      </c>
      <c r="B55" s="209">
        <v>0.1</v>
      </c>
      <c r="C55" s="210">
        <v>0.07</v>
      </c>
      <c r="D55" s="209">
        <f t="shared" si="22"/>
        <v>0.07</v>
      </c>
      <c r="E55" s="210">
        <f t="shared" si="23"/>
        <v>0.07</v>
      </c>
      <c r="F55" s="159">
        <f t="shared" si="24"/>
        <v>598.3423658570039</v>
      </c>
      <c r="G55" s="160">
        <f t="shared" si="24"/>
        <v>658.1766024427043</v>
      </c>
      <c r="H55" s="160">
        <f t="shared" si="24"/>
        <v>723.9942626869747</v>
      </c>
      <c r="I55" s="160">
        <f t="shared" si="24"/>
        <v>796.3936889556722</v>
      </c>
      <c r="J55" s="160">
        <f t="shared" si="24"/>
        <v>876.0330578512395</v>
      </c>
      <c r="K55" s="160">
        <f t="shared" si="24"/>
        <v>963.6363636363635</v>
      </c>
      <c r="L55" s="190">
        <v>1060</v>
      </c>
      <c r="M55" s="160">
        <f t="shared" si="25"/>
        <v>1134.2</v>
      </c>
      <c r="N55" s="160">
        <f t="shared" si="25"/>
        <v>1213.594</v>
      </c>
      <c r="O55" s="160">
        <f t="shared" si="25"/>
        <v>1298.5455800000002</v>
      </c>
      <c r="P55" s="160">
        <f t="shared" si="25"/>
        <v>1389.4437706000003</v>
      </c>
      <c r="Q55" s="159">
        <f t="shared" si="26"/>
        <v>1486.7048345420005</v>
      </c>
      <c r="R55" s="161">
        <f t="shared" si="26"/>
        <v>1590.7741729599406</v>
      </c>
      <c r="S55" s="159">
        <f t="shared" si="27"/>
        <v>1702.1283650671367</v>
      </c>
      <c r="T55" s="160">
        <f t="shared" si="27"/>
        <v>1821.2773506218364</v>
      </c>
      <c r="U55" s="160">
        <f t="shared" si="27"/>
        <v>1948.766765165365</v>
      </c>
      <c r="V55" s="160">
        <f t="shared" si="27"/>
        <v>2085.180438726941</v>
      </c>
      <c r="W55" s="161">
        <f t="shared" si="27"/>
        <v>2231.143069437827</v>
      </c>
      <c r="X55" s="215" t="s">
        <v>113</v>
      </c>
    </row>
    <row r="56" spans="1:24" ht="13.75" customHeight="1">
      <c r="A56" s="155" t="s">
        <v>92</v>
      </c>
      <c r="B56" s="209">
        <v>0</v>
      </c>
      <c r="C56" s="210">
        <v>-0.01</v>
      </c>
      <c r="D56" s="209">
        <f t="shared" si="22"/>
        <v>-0.01</v>
      </c>
      <c r="E56" s="210">
        <f t="shared" si="23"/>
        <v>-0.01</v>
      </c>
      <c r="F56" s="159">
        <f t="shared" si="24"/>
        <v>70</v>
      </c>
      <c r="G56" s="160">
        <f t="shared" si="24"/>
        <v>70</v>
      </c>
      <c r="H56" s="160">
        <f t="shared" si="24"/>
        <v>70</v>
      </c>
      <c r="I56" s="160">
        <f t="shared" si="24"/>
        <v>70</v>
      </c>
      <c r="J56" s="160">
        <f t="shared" si="24"/>
        <v>70</v>
      </c>
      <c r="K56" s="160">
        <f t="shared" si="24"/>
        <v>70</v>
      </c>
      <c r="L56" s="171">
        <v>70</v>
      </c>
      <c r="M56" s="160">
        <f t="shared" si="25"/>
        <v>69.3</v>
      </c>
      <c r="N56" s="160">
        <f t="shared" si="25"/>
        <v>68.607</v>
      </c>
      <c r="O56" s="160">
        <f t="shared" si="25"/>
        <v>67.92093</v>
      </c>
      <c r="P56" s="160">
        <f t="shared" si="25"/>
        <v>67.2417207</v>
      </c>
      <c r="Q56" s="159">
        <f t="shared" si="26"/>
        <v>66.569303493</v>
      </c>
      <c r="R56" s="161">
        <f t="shared" si="26"/>
        <v>65.90361045807</v>
      </c>
      <c r="S56" s="159">
        <f t="shared" si="27"/>
        <v>65.2445743534893</v>
      </c>
      <c r="T56" s="160">
        <f t="shared" si="27"/>
        <v>64.5921286099544</v>
      </c>
      <c r="U56" s="160">
        <f t="shared" si="27"/>
        <v>63.94620732385486</v>
      </c>
      <c r="V56" s="160">
        <f t="shared" si="27"/>
        <v>63.30674525061631</v>
      </c>
      <c r="W56" s="161">
        <f t="shared" si="27"/>
        <v>62.67367779811015</v>
      </c>
      <c r="X56" s="142" t="s">
        <v>114</v>
      </c>
    </row>
    <row r="57" spans="1:24" ht="13.75" customHeight="1">
      <c r="A57" s="155" t="s">
        <v>94</v>
      </c>
      <c r="B57" s="209">
        <v>0</v>
      </c>
      <c r="C57" s="210">
        <v>-0.01</v>
      </c>
      <c r="D57" s="209">
        <f t="shared" si="22"/>
        <v>-0.01</v>
      </c>
      <c r="E57" s="210">
        <f t="shared" si="23"/>
        <v>-0.01</v>
      </c>
      <c r="F57" s="159">
        <f t="shared" si="24"/>
        <v>120</v>
      </c>
      <c r="G57" s="160">
        <f t="shared" si="24"/>
        <v>120</v>
      </c>
      <c r="H57" s="160">
        <f t="shared" si="24"/>
        <v>120</v>
      </c>
      <c r="I57" s="160">
        <f t="shared" si="24"/>
        <v>120</v>
      </c>
      <c r="J57" s="160">
        <f t="shared" si="24"/>
        <v>120</v>
      </c>
      <c r="K57" s="160">
        <f t="shared" si="24"/>
        <v>120</v>
      </c>
      <c r="L57" s="171">
        <v>120</v>
      </c>
      <c r="M57" s="160">
        <f t="shared" si="25"/>
        <v>118.8</v>
      </c>
      <c r="N57" s="160">
        <f t="shared" si="25"/>
        <v>117.612</v>
      </c>
      <c r="O57" s="160">
        <f t="shared" si="25"/>
        <v>116.43588</v>
      </c>
      <c r="P57" s="160">
        <f t="shared" si="25"/>
        <v>115.2715212</v>
      </c>
      <c r="Q57" s="159">
        <f t="shared" si="26"/>
        <v>114.11880598799999</v>
      </c>
      <c r="R57" s="161">
        <f t="shared" si="26"/>
        <v>112.97761792812</v>
      </c>
      <c r="S57" s="159">
        <f t="shared" si="27"/>
        <v>111.8478417488388</v>
      </c>
      <c r="T57" s="160">
        <f t="shared" si="27"/>
        <v>110.72936333135041</v>
      </c>
      <c r="U57" s="160">
        <f t="shared" si="27"/>
        <v>109.62206969803691</v>
      </c>
      <c r="V57" s="160">
        <f t="shared" si="27"/>
        <v>108.52584900105654</v>
      </c>
      <c r="W57" s="161">
        <f t="shared" si="27"/>
        <v>107.44059051104598</v>
      </c>
      <c r="X57" s="142" t="s">
        <v>115</v>
      </c>
    </row>
    <row r="58" spans="1:24" ht="13.75" customHeight="1">
      <c r="A58" s="155" t="s">
        <v>96</v>
      </c>
      <c r="B58" s="209">
        <v>0</v>
      </c>
      <c r="C58" s="210">
        <v>-0.01</v>
      </c>
      <c r="D58" s="209">
        <f t="shared" si="22"/>
        <v>-0.01</v>
      </c>
      <c r="E58" s="210">
        <f t="shared" si="23"/>
        <v>-0.01</v>
      </c>
      <c r="F58" s="159">
        <f t="shared" si="24"/>
        <v>120</v>
      </c>
      <c r="G58" s="160">
        <f t="shared" si="24"/>
        <v>120</v>
      </c>
      <c r="H58" s="160">
        <f t="shared" si="24"/>
        <v>120</v>
      </c>
      <c r="I58" s="160">
        <f t="shared" si="24"/>
        <v>120</v>
      </c>
      <c r="J58" s="160">
        <f t="shared" si="24"/>
        <v>120</v>
      </c>
      <c r="K58" s="160">
        <f t="shared" si="24"/>
        <v>120</v>
      </c>
      <c r="L58" s="171">
        <v>120</v>
      </c>
      <c r="M58" s="160">
        <f t="shared" si="25"/>
        <v>118.8</v>
      </c>
      <c r="N58" s="160">
        <f t="shared" si="25"/>
        <v>117.612</v>
      </c>
      <c r="O58" s="160">
        <f t="shared" si="25"/>
        <v>116.43588</v>
      </c>
      <c r="P58" s="160">
        <f t="shared" si="25"/>
        <v>115.2715212</v>
      </c>
      <c r="Q58" s="159">
        <f t="shared" si="26"/>
        <v>114.11880598799999</v>
      </c>
      <c r="R58" s="161">
        <f t="shared" si="26"/>
        <v>112.97761792812</v>
      </c>
      <c r="S58" s="159">
        <f t="shared" si="27"/>
        <v>111.8478417488388</v>
      </c>
      <c r="T58" s="160">
        <f t="shared" si="27"/>
        <v>110.72936333135041</v>
      </c>
      <c r="U58" s="160">
        <f t="shared" si="27"/>
        <v>109.62206969803691</v>
      </c>
      <c r="V58" s="160">
        <f t="shared" si="27"/>
        <v>108.52584900105654</v>
      </c>
      <c r="W58" s="161">
        <f t="shared" si="27"/>
        <v>107.44059051104598</v>
      </c>
      <c r="X58" s="142" t="s">
        <v>116</v>
      </c>
    </row>
    <row r="59" spans="1:24" ht="13.75" customHeight="1">
      <c r="A59" s="155" t="s">
        <v>5</v>
      </c>
      <c r="B59" s="209">
        <v>0.01</v>
      </c>
      <c r="C59" s="210">
        <v>0.03</v>
      </c>
      <c r="D59" s="209">
        <f>'Input - Hyp CAGR MetaMetaverse'!G5</f>
        <v>0.07012954514109704</v>
      </c>
      <c r="E59" s="210">
        <f>'Input - Hyp CAGR MetaMetaverse'!H5</f>
        <v>0.07012954514109704</v>
      </c>
      <c r="F59" s="159">
        <f t="shared" si="24"/>
        <v>47.10226176271033</v>
      </c>
      <c r="G59" s="160">
        <f t="shared" si="24"/>
        <v>47.573284380337434</v>
      </c>
      <c r="H59" s="160">
        <f t="shared" si="24"/>
        <v>48.04901722414081</v>
      </c>
      <c r="I59" s="160">
        <f t="shared" si="24"/>
        <v>48.52950739638222</v>
      </c>
      <c r="J59" s="160">
        <f t="shared" si="24"/>
        <v>49.01480247034605</v>
      </c>
      <c r="K59" s="160">
        <f t="shared" si="24"/>
        <v>49.504950495049506</v>
      </c>
      <c r="L59" s="171">
        <v>50</v>
      </c>
      <c r="M59" s="160">
        <f t="shared" si="25"/>
        <v>51.5</v>
      </c>
      <c r="N59" s="160">
        <f t="shared" si="25"/>
        <v>53.045</v>
      </c>
      <c r="O59" s="160">
        <f t="shared" si="25"/>
        <v>54.63635</v>
      </c>
      <c r="P59" s="160">
        <f t="shared" si="25"/>
        <v>56.2754405</v>
      </c>
      <c r="Q59" s="159">
        <f t="shared" si="26"/>
        <v>60.22201154487987</v>
      </c>
      <c r="R59" s="161">
        <f t="shared" si="26"/>
        <v>64.4453538220042</v>
      </c>
      <c r="S59" s="159">
        <f t="shared" si="27"/>
        <v>68.96487717199841</v>
      </c>
      <c r="T59" s="160">
        <f t="shared" si="27"/>
        <v>73.80135263878229</v>
      </c>
      <c r="U59" s="160">
        <f t="shared" si="27"/>
        <v>78.97700793013779</v>
      </c>
      <c r="V59" s="160">
        <f t="shared" si="27"/>
        <v>84.51562957288317</v>
      </c>
      <c r="W59" s="161">
        <f t="shared" si="27"/>
        <v>90.44267223214291</v>
      </c>
      <c r="X59" s="142" t="s">
        <v>117</v>
      </c>
    </row>
    <row r="60" spans="1:24" ht="13.75" customHeight="1">
      <c r="A60" s="155" t="s">
        <v>33</v>
      </c>
      <c r="B60" s="209">
        <v>0.03</v>
      </c>
      <c r="C60" s="210">
        <v>0.03</v>
      </c>
      <c r="D60" s="209">
        <f t="shared" si="22"/>
        <v>0.03</v>
      </c>
      <c r="E60" s="210">
        <f t="shared" si="23"/>
        <v>0.03</v>
      </c>
      <c r="F60" s="159">
        <f t="shared" si="24"/>
        <v>66.99874053469233</v>
      </c>
      <c r="G60" s="160">
        <f t="shared" si="24"/>
        <v>69.00870275073311</v>
      </c>
      <c r="H60" s="160">
        <f t="shared" si="24"/>
        <v>71.0789638332551</v>
      </c>
      <c r="I60" s="160">
        <f t="shared" si="24"/>
        <v>73.21133274825276</v>
      </c>
      <c r="J60" s="160">
        <f t="shared" si="24"/>
        <v>75.40767273070034</v>
      </c>
      <c r="K60" s="160">
        <f t="shared" si="24"/>
        <v>77.66990291262135</v>
      </c>
      <c r="L60" s="171">
        <v>80</v>
      </c>
      <c r="M60" s="160">
        <f t="shared" si="25"/>
        <v>82.4</v>
      </c>
      <c r="N60" s="160">
        <f t="shared" si="25"/>
        <v>84.87200000000001</v>
      </c>
      <c r="O60" s="160">
        <f t="shared" si="25"/>
        <v>87.41816000000001</v>
      </c>
      <c r="P60" s="160">
        <f t="shared" si="25"/>
        <v>90.04070480000001</v>
      </c>
      <c r="Q60" s="159">
        <f t="shared" si="26"/>
        <v>92.74192594400002</v>
      </c>
      <c r="R60" s="161">
        <f t="shared" si="26"/>
        <v>95.52418372232002</v>
      </c>
      <c r="S60" s="159">
        <f t="shared" si="27"/>
        <v>98.38990923398963</v>
      </c>
      <c r="T60" s="160">
        <f t="shared" si="27"/>
        <v>101.34160651100932</v>
      </c>
      <c r="U60" s="160">
        <f t="shared" si="27"/>
        <v>104.3818547063396</v>
      </c>
      <c r="V60" s="160">
        <f t="shared" si="27"/>
        <v>107.51331034752978</v>
      </c>
      <c r="W60" s="161">
        <f t="shared" si="27"/>
        <v>110.73870965795568</v>
      </c>
      <c r="X60" s="142" t="s">
        <v>118</v>
      </c>
    </row>
    <row r="61" spans="1:24" ht="13.75" customHeight="1">
      <c r="A61" s="155" t="s">
        <v>101</v>
      </c>
      <c r="B61" s="209">
        <v>0.1</v>
      </c>
      <c r="C61" s="210">
        <v>0.07</v>
      </c>
      <c r="D61" s="209">
        <f t="shared" si="22"/>
        <v>0.07</v>
      </c>
      <c r="E61" s="210">
        <f t="shared" si="23"/>
        <v>0.07</v>
      </c>
      <c r="F61" s="159">
        <f t="shared" si="24"/>
        <v>733.8161090699102</v>
      </c>
      <c r="G61" s="160">
        <f t="shared" si="24"/>
        <v>807.1977199769013</v>
      </c>
      <c r="H61" s="160">
        <f t="shared" si="24"/>
        <v>887.9174919745916</v>
      </c>
      <c r="I61" s="160">
        <f t="shared" si="24"/>
        <v>976.7092411720508</v>
      </c>
      <c r="J61" s="160">
        <f t="shared" si="24"/>
        <v>1074.380165289256</v>
      </c>
      <c r="K61" s="160">
        <f t="shared" si="24"/>
        <v>1181.8181818181818</v>
      </c>
      <c r="L61" s="190">
        <v>1300</v>
      </c>
      <c r="M61" s="160">
        <f t="shared" si="25"/>
        <v>1391</v>
      </c>
      <c r="N61" s="160">
        <f t="shared" si="25"/>
        <v>1488.3700000000001</v>
      </c>
      <c r="O61" s="160">
        <f t="shared" si="25"/>
        <v>1592.5559000000003</v>
      </c>
      <c r="P61" s="160">
        <f t="shared" si="25"/>
        <v>1704.0348130000004</v>
      </c>
      <c r="Q61" s="159">
        <f t="shared" si="26"/>
        <v>1823.3172499100006</v>
      </c>
      <c r="R61" s="161">
        <f t="shared" si="26"/>
        <v>1950.9494574037008</v>
      </c>
      <c r="S61" s="159">
        <f t="shared" si="27"/>
        <v>2087.51591942196</v>
      </c>
      <c r="T61" s="160">
        <f t="shared" si="27"/>
        <v>2233.6420337814975</v>
      </c>
      <c r="U61" s="160">
        <f t="shared" si="27"/>
        <v>2389.9969761462025</v>
      </c>
      <c r="V61" s="160">
        <f t="shared" si="27"/>
        <v>2557.2967644764367</v>
      </c>
      <c r="W61" s="161">
        <f t="shared" si="27"/>
        <v>2736.3075379897873</v>
      </c>
      <c r="X61" s="142" t="s">
        <v>110</v>
      </c>
    </row>
    <row r="62" spans="1:24" ht="15" customHeight="1">
      <c r="A62" s="178" t="s">
        <v>16</v>
      </c>
      <c r="B62" s="217">
        <v>0.03</v>
      </c>
      <c r="C62" s="218">
        <v>0.02</v>
      </c>
      <c r="D62" s="425">
        <f>'Input - Hyp CAGR MetaMetaverse'!G21</f>
        <v>0.02</v>
      </c>
      <c r="E62" s="426">
        <f>'Input - Hyp CAGR MetaMetaverse'!H21</f>
        <v>0.02</v>
      </c>
      <c r="F62" s="219">
        <f t="shared" si="24"/>
        <v>41.87421283418271</v>
      </c>
      <c r="G62" s="220">
        <f t="shared" si="24"/>
        <v>43.13043921920819</v>
      </c>
      <c r="H62" s="220">
        <f t="shared" si="24"/>
        <v>44.42435239578444</v>
      </c>
      <c r="I62" s="220">
        <f t="shared" si="24"/>
        <v>45.75708296765797</v>
      </c>
      <c r="J62" s="220">
        <f t="shared" si="24"/>
        <v>47.12979545668771</v>
      </c>
      <c r="K62" s="220">
        <f t="shared" si="24"/>
        <v>48.543689320388346</v>
      </c>
      <c r="L62" s="221">
        <v>50</v>
      </c>
      <c r="M62" s="220">
        <f t="shared" si="25"/>
        <v>51</v>
      </c>
      <c r="N62" s="220">
        <f t="shared" si="25"/>
        <v>52.02</v>
      </c>
      <c r="O62" s="220">
        <f t="shared" si="25"/>
        <v>53.0604</v>
      </c>
      <c r="P62" s="220">
        <f t="shared" si="25"/>
        <v>54.121608</v>
      </c>
      <c r="Q62" s="219">
        <f t="shared" si="26"/>
        <v>55.204040160000005</v>
      </c>
      <c r="R62" s="222">
        <f>Q62*(1+$D62)</f>
        <v>56.308120963200004</v>
      </c>
      <c r="S62" s="219">
        <f t="shared" si="27"/>
        <v>57.434283382464</v>
      </c>
      <c r="T62" s="220">
        <f t="shared" si="27"/>
        <v>58.582969050113284</v>
      </c>
      <c r="U62" s="220">
        <f t="shared" si="27"/>
        <v>59.75462843111555</v>
      </c>
      <c r="V62" s="220">
        <f t="shared" si="27"/>
        <v>60.94972099973786</v>
      </c>
      <c r="W62" s="222">
        <f t="shared" si="27"/>
        <v>62.16871541973262</v>
      </c>
      <c r="X62" s="142" t="s">
        <v>119</v>
      </c>
    </row>
    <row r="63" spans="1:23" ht="15" customHeight="1">
      <c r="A63" s="207"/>
      <c r="B63" s="207"/>
      <c r="C63" s="207"/>
      <c r="D63" s="207"/>
      <c r="E63" s="207"/>
      <c r="F63" s="142"/>
      <c r="G63" s="142"/>
      <c r="H63" s="142"/>
      <c r="I63" s="142"/>
      <c r="J63" s="142"/>
      <c r="K63" s="142"/>
      <c r="L63" s="142"/>
      <c r="M63" s="208"/>
      <c r="N63" s="208"/>
      <c r="O63" s="208"/>
      <c r="P63" s="208"/>
      <c r="Q63" s="208"/>
      <c r="R63" s="208"/>
      <c r="S63" s="208"/>
      <c r="T63" s="208"/>
      <c r="U63" s="208"/>
      <c r="V63" s="208"/>
      <c r="W63" s="208"/>
    </row>
    <row r="64" spans="1:23" ht="15" customHeight="1">
      <c r="A64" s="223"/>
      <c r="B64" s="223"/>
      <c r="C64" s="223"/>
      <c r="D64" s="223"/>
      <c r="E64" s="223"/>
      <c r="M64" s="208"/>
      <c r="N64" s="208"/>
      <c r="O64" s="208"/>
      <c r="P64" s="208"/>
      <c r="Q64" s="208"/>
      <c r="R64" s="208"/>
      <c r="S64" s="208"/>
      <c r="T64" s="208"/>
      <c r="U64" s="208"/>
      <c r="V64" s="208"/>
      <c r="W64" s="208"/>
    </row>
    <row r="65" spans="1:23" ht="30" customHeight="1">
      <c r="A65" s="151" t="s">
        <v>120</v>
      </c>
      <c r="B65" s="153" t="s">
        <v>354</v>
      </c>
      <c r="C65" s="154" t="s">
        <v>71</v>
      </c>
      <c r="D65" s="153" t="s">
        <v>72</v>
      </c>
      <c r="E65" s="154" t="s">
        <v>73</v>
      </c>
      <c r="F65" s="153">
        <v>2013</v>
      </c>
      <c r="G65" s="152">
        <v>2014</v>
      </c>
      <c r="H65" s="152">
        <v>2015</v>
      </c>
      <c r="I65" s="152">
        <v>2016</v>
      </c>
      <c r="J65" s="152">
        <v>2017</v>
      </c>
      <c r="K65" s="152">
        <v>2018</v>
      </c>
      <c r="L65" s="152">
        <v>2019</v>
      </c>
      <c r="M65" s="152">
        <v>2020</v>
      </c>
      <c r="N65" s="152">
        <v>2021</v>
      </c>
      <c r="O65" s="152">
        <v>2022</v>
      </c>
      <c r="P65" s="154">
        <v>2023</v>
      </c>
      <c r="Q65" s="153">
        <v>2024</v>
      </c>
      <c r="R65" s="154">
        <v>2025</v>
      </c>
      <c r="S65" s="153">
        <v>2026</v>
      </c>
      <c r="T65" s="152">
        <v>2027</v>
      </c>
      <c r="U65" s="152">
        <v>2028</v>
      </c>
      <c r="V65" s="152">
        <v>2029</v>
      </c>
      <c r="W65" s="154">
        <v>2030</v>
      </c>
    </row>
    <row r="66" spans="1:24" ht="15" customHeight="1">
      <c r="A66" s="155" t="s">
        <v>74</v>
      </c>
      <c r="B66" s="209">
        <v>0</v>
      </c>
      <c r="C66" s="210">
        <v>0</v>
      </c>
      <c r="D66" s="209">
        <f aca="true" t="shared" si="29" ref="D66:D81">C66</f>
        <v>0</v>
      </c>
      <c r="E66" s="210">
        <f aca="true" t="shared" si="30" ref="E66:E81">C66</f>
        <v>0</v>
      </c>
      <c r="F66" s="159">
        <f t="shared" si="24"/>
        <v>1551.7241379310346</v>
      </c>
      <c r="G66" s="160">
        <f t="shared" si="24"/>
        <v>1551.7241379310346</v>
      </c>
      <c r="H66" s="160">
        <f t="shared" si="24"/>
        <v>1551.7241379310346</v>
      </c>
      <c r="I66" s="160">
        <f t="shared" si="24"/>
        <v>1551.7241379310346</v>
      </c>
      <c r="J66" s="160">
        <f t="shared" si="24"/>
        <v>1551.7241379310346</v>
      </c>
      <c r="K66" s="160">
        <f>L66/(1+$B66)</f>
        <v>1551.7241379310346</v>
      </c>
      <c r="L66" s="171">
        <f aca="true" t="shared" si="31" ref="L66:L82">$L46/0.29</f>
        <v>1551.7241379310346</v>
      </c>
      <c r="M66" s="160">
        <f t="shared" si="25"/>
        <v>1551.7241379310346</v>
      </c>
      <c r="N66" s="160">
        <f t="shared" si="25"/>
        <v>1551.7241379310346</v>
      </c>
      <c r="O66" s="160">
        <f t="shared" si="25"/>
        <v>1551.7241379310346</v>
      </c>
      <c r="P66" s="161">
        <f t="shared" si="25"/>
        <v>1551.7241379310346</v>
      </c>
      <c r="Q66" s="159">
        <f t="shared" si="26"/>
        <v>1551.7241379310346</v>
      </c>
      <c r="R66" s="161">
        <f>Q66*(1+$D66)</f>
        <v>1551.7241379310346</v>
      </c>
      <c r="S66" s="159">
        <f t="shared" si="27"/>
        <v>1551.7241379310346</v>
      </c>
      <c r="T66" s="160">
        <f aca="true" t="shared" si="32" ref="T66:W66">S66*(1+$E66)</f>
        <v>1551.7241379310346</v>
      </c>
      <c r="U66" s="160">
        <f t="shared" si="32"/>
        <v>1551.7241379310346</v>
      </c>
      <c r="V66" s="160">
        <f t="shared" si="32"/>
        <v>1551.7241379310346</v>
      </c>
      <c r="W66" s="161">
        <f t="shared" si="32"/>
        <v>1551.7241379310346</v>
      </c>
      <c r="X66" s="142" t="s">
        <v>121</v>
      </c>
    </row>
    <row r="67" spans="1:24" ht="15" customHeight="1">
      <c r="A67" s="155" t="s">
        <v>76</v>
      </c>
      <c r="B67" s="209">
        <v>0.04</v>
      </c>
      <c r="C67" s="210">
        <v>0.05</v>
      </c>
      <c r="D67" s="209">
        <f t="shared" si="29"/>
        <v>0.05</v>
      </c>
      <c r="E67" s="210">
        <f t="shared" si="30"/>
        <v>0.05</v>
      </c>
      <c r="F67" s="159">
        <f t="shared" si="24"/>
        <v>1144.5934510574523</v>
      </c>
      <c r="G67" s="160">
        <f t="shared" si="24"/>
        <v>1190.3771890997505</v>
      </c>
      <c r="H67" s="160">
        <f t="shared" si="24"/>
        <v>1237.9922766637405</v>
      </c>
      <c r="I67" s="160">
        <f t="shared" si="24"/>
        <v>1287.5119677302903</v>
      </c>
      <c r="J67" s="160">
        <f t="shared" si="24"/>
        <v>1339.012446439502</v>
      </c>
      <c r="K67" s="160">
        <f t="shared" si="24"/>
        <v>1392.5729442970821</v>
      </c>
      <c r="L67" s="171">
        <f t="shared" si="31"/>
        <v>1448.2758620689656</v>
      </c>
      <c r="M67" s="160">
        <f t="shared" si="25"/>
        <v>1520.689655172414</v>
      </c>
      <c r="N67" s="160">
        <f t="shared" si="25"/>
        <v>1596.7241379310346</v>
      </c>
      <c r="O67" s="160">
        <f t="shared" si="25"/>
        <v>1676.5603448275865</v>
      </c>
      <c r="P67" s="161">
        <f t="shared" si="25"/>
        <v>1760.388362068966</v>
      </c>
      <c r="Q67" s="159">
        <f t="shared" si="26"/>
        <v>1848.4077801724143</v>
      </c>
      <c r="R67" s="161">
        <f t="shared" si="26"/>
        <v>1940.828169181035</v>
      </c>
      <c r="S67" s="159">
        <f t="shared" si="27"/>
        <v>2037.8695776400868</v>
      </c>
      <c r="T67" s="160">
        <f t="shared" si="27"/>
        <v>2139.763056522091</v>
      </c>
      <c r="U67" s="160">
        <f t="shared" si="27"/>
        <v>2246.751209348196</v>
      </c>
      <c r="V67" s="160">
        <f t="shared" si="27"/>
        <v>2359.0887698156057</v>
      </c>
      <c r="W67" s="161">
        <f t="shared" si="27"/>
        <v>2477.043208306386</v>
      </c>
      <c r="X67" s="142" t="s">
        <v>122</v>
      </c>
    </row>
    <row r="68" spans="1:27" ht="15" customHeight="1">
      <c r="A68" s="155" t="s">
        <v>78</v>
      </c>
      <c r="B68" s="209">
        <v>0</v>
      </c>
      <c r="C68" s="210">
        <v>0</v>
      </c>
      <c r="D68" s="209">
        <f t="shared" si="29"/>
        <v>0</v>
      </c>
      <c r="E68" s="210">
        <f t="shared" si="30"/>
        <v>0</v>
      </c>
      <c r="F68" s="159">
        <f t="shared" si="24"/>
        <v>1150</v>
      </c>
      <c r="G68" s="160">
        <f t="shared" si="24"/>
        <v>1150</v>
      </c>
      <c r="H68" s="160">
        <f t="shared" si="24"/>
        <v>1150</v>
      </c>
      <c r="I68" s="160">
        <f t="shared" si="24"/>
        <v>1150</v>
      </c>
      <c r="J68" s="160">
        <f t="shared" si="24"/>
        <v>1150</v>
      </c>
      <c r="K68" s="160">
        <f t="shared" si="24"/>
        <v>1150</v>
      </c>
      <c r="L68" s="171">
        <v>1150</v>
      </c>
      <c r="M68" s="160">
        <f t="shared" si="25"/>
        <v>1150</v>
      </c>
      <c r="N68" s="160">
        <f t="shared" si="25"/>
        <v>1150</v>
      </c>
      <c r="O68" s="160">
        <f t="shared" si="25"/>
        <v>1150</v>
      </c>
      <c r="P68" s="161">
        <f t="shared" si="25"/>
        <v>1150</v>
      </c>
      <c r="Q68" s="159">
        <f t="shared" si="26"/>
        <v>1150</v>
      </c>
      <c r="R68" s="161">
        <f t="shared" si="26"/>
        <v>1150</v>
      </c>
      <c r="S68" s="159">
        <f t="shared" si="27"/>
        <v>1150</v>
      </c>
      <c r="T68" s="160">
        <f t="shared" si="27"/>
        <v>1150</v>
      </c>
      <c r="U68" s="160">
        <f t="shared" si="27"/>
        <v>1150</v>
      </c>
      <c r="V68" s="160">
        <f t="shared" si="27"/>
        <v>1150</v>
      </c>
      <c r="W68" s="161">
        <f t="shared" si="27"/>
        <v>1150</v>
      </c>
      <c r="X68" s="142" t="s">
        <v>107</v>
      </c>
      <c r="Y68" s="142"/>
      <c r="Z68" s="142"/>
      <c r="AA68" s="142"/>
    </row>
    <row r="69" spans="1:24" ht="15" customHeight="1">
      <c r="A69" s="155" t="s">
        <v>79</v>
      </c>
      <c r="B69" s="209">
        <v>0.02</v>
      </c>
      <c r="C69" s="210">
        <v>0.02</v>
      </c>
      <c r="D69" s="209">
        <f t="shared" si="29"/>
        <v>0.02</v>
      </c>
      <c r="E69" s="210">
        <f t="shared" si="30"/>
        <v>0.02</v>
      </c>
      <c r="F69" s="159">
        <f t="shared" si="24"/>
        <v>765.4925708501655</v>
      </c>
      <c r="G69" s="160">
        <f t="shared" si="24"/>
        <v>780.8024222671688</v>
      </c>
      <c r="H69" s="160">
        <f t="shared" si="24"/>
        <v>796.4184707125122</v>
      </c>
      <c r="I69" s="160">
        <f t="shared" si="24"/>
        <v>812.3468401267625</v>
      </c>
      <c r="J69" s="160">
        <f t="shared" si="24"/>
        <v>828.5937769292977</v>
      </c>
      <c r="K69" s="160">
        <f t="shared" si="24"/>
        <v>845.1656524678837</v>
      </c>
      <c r="L69" s="171">
        <f t="shared" si="31"/>
        <v>862.0689655172414</v>
      </c>
      <c r="M69" s="160">
        <f t="shared" si="25"/>
        <v>879.3103448275863</v>
      </c>
      <c r="N69" s="160">
        <f t="shared" si="25"/>
        <v>896.896551724138</v>
      </c>
      <c r="O69" s="160">
        <f t="shared" si="25"/>
        <v>914.8344827586208</v>
      </c>
      <c r="P69" s="161">
        <f t="shared" si="25"/>
        <v>933.1311724137933</v>
      </c>
      <c r="Q69" s="159">
        <f t="shared" si="26"/>
        <v>951.7937958620691</v>
      </c>
      <c r="R69" s="161">
        <f t="shared" si="26"/>
        <v>970.8296717793105</v>
      </c>
      <c r="S69" s="159">
        <f t="shared" si="27"/>
        <v>990.2462652148968</v>
      </c>
      <c r="T69" s="160">
        <f t="shared" si="27"/>
        <v>1010.0511905191947</v>
      </c>
      <c r="U69" s="160">
        <f t="shared" si="27"/>
        <v>1030.2522143295787</v>
      </c>
      <c r="V69" s="160">
        <f t="shared" si="27"/>
        <v>1050.8572586161704</v>
      </c>
      <c r="W69" s="161">
        <f t="shared" si="27"/>
        <v>1071.8744037884937</v>
      </c>
      <c r="X69" s="142" t="s">
        <v>116</v>
      </c>
    </row>
    <row r="70" spans="1:24" ht="15" customHeight="1">
      <c r="A70" s="155" t="s">
        <v>81</v>
      </c>
      <c r="B70" s="209">
        <v>0</v>
      </c>
      <c r="C70" s="210">
        <v>-0.01</v>
      </c>
      <c r="D70" s="209">
        <f t="shared" si="29"/>
        <v>-0.01</v>
      </c>
      <c r="E70" s="210">
        <f t="shared" si="30"/>
        <v>-0.01</v>
      </c>
      <c r="F70" s="159">
        <f t="shared" si="24"/>
        <v>344.82758620689657</v>
      </c>
      <c r="G70" s="160">
        <f t="shared" si="24"/>
        <v>344.82758620689657</v>
      </c>
      <c r="H70" s="160">
        <f t="shared" si="24"/>
        <v>344.82758620689657</v>
      </c>
      <c r="I70" s="160">
        <f t="shared" si="24"/>
        <v>344.82758620689657</v>
      </c>
      <c r="J70" s="160">
        <f t="shared" si="24"/>
        <v>344.82758620689657</v>
      </c>
      <c r="K70" s="168">
        <f t="shared" si="24"/>
        <v>344.82758620689657</v>
      </c>
      <c r="L70" s="171">
        <f t="shared" si="31"/>
        <v>344.82758620689657</v>
      </c>
      <c r="M70" s="160">
        <f t="shared" si="25"/>
        <v>341.3793103448276</v>
      </c>
      <c r="N70" s="160">
        <f t="shared" si="25"/>
        <v>337.96551724137936</v>
      </c>
      <c r="O70" s="160">
        <f t="shared" si="25"/>
        <v>334.5858620689656</v>
      </c>
      <c r="P70" s="161">
        <f t="shared" si="25"/>
        <v>331.2400034482759</v>
      </c>
      <c r="Q70" s="159">
        <f t="shared" si="26"/>
        <v>327.9276034137931</v>
      </c>
      <c r="R70" s="161">
        <f t="shared" si="26"/>
        <v>324.6483273796552</v>
      </c>
      <c r="S70" s="159">
        <f t="shared" si="27"/>
        <v>321.40184410585863</v>
      </c>
      <c r="T70" s="160">
        <f t="shared" si="27"/>
        <v>318.1878256648</v>
      </c>
      <c r="U70" s="160">
        <f t="shared" si="27"/>
        <v>315.005947408152</v>
      </c>
      <c r="V70" s="160">
        <f t="shared" si="27"/>
        <v>311.8558879340705</v>
      </c>
      <c r="W70" s="161">
        <f t="shared" si="27"/>
        <v>308.7373290547298</v>
      </c>
      <c r="X70" s="142" t="s">
        <v>116</v>
      </c>
    </row>
    <row r="71" spans="1:24" ht="15" customHeight="1">
      <c r="A71" s="155" t="s">
        <v>30</v>
      </c>
      <c r="B71" s="209">
        <v>0.11</v>
      </c>
      <c r="C71" s="210">
        <v>0.06</v>
      </c>
      <c r="D71" s="209">
        <f t="shared" si="29"/>
        <v>0.06</v>
      </c>
      <c r="E71" s="210">
        <f t="shared" si="30"/>
        <v>0.06</v>
      </c>
      <c r="F71" s="159">
        <f t="shared" si="24"/>
        <v>156.70507264671477</v>
      </c>
      <c r="G71" s="160">
        <f t="shared" si="24"/>
        <v>173.9426306378534</v>
      </c>
      <c r="H71" s="160">
        <f t="shared" si="24"/>
        <v>193.0763200080173</v>
      </c>
      <c r="I71" s="160">
        <f t="shared" si="24"/>
        <v>214.3147152088992</v>
      </c>
      <c r="J71" s="160">
        <f t="shared" si="24"/>
        <v>237.88933388187814</v>
      </c>
      <c r="K71" s="160">
        <f t="shared" si="24"/>
        <v>264.0571606088848</v>
      </c>
      <c r="L71" s="171">
        <f t="shared" si="31"/>
        <v>293.1034482758621</v>
      </c>
      <c r="M71" s="160">
        <f t="shared" si="25"/>
        <v>310.68965517241384</v>
      </c>
      <c r="N71" s="160">
        <f t="shared" si="25"/>
        <v>329.3310344827587</v>
      </c>
      <c r="O71" s="160">
        <f t="shared" si="25"/>
        <v>349.09089655172426</v>
      </c>
      <c r="P71" s="161">
        <f t="shared" si="25"/>
        <v>370.0363503448277</v>
      </c>
      <c r="Q71" s="159">
        <f t="shared" si="26"/>
        <v>392.2385313655174</v>
      </c>
      <c r="R71" s="161">
        <f t="shared" si="26"/>
        <v>415.77284324744846</v>
      </c>
      <c r="S71" s="159">
        <f t="shared" si="27"/>
        <v>440.7192138422954</v>
      </c>
      <c r="T71" s="160">
        <f t="shared" si="27"/>
        <v>467.1623666728332</v>
      </c>
      <c r="U71" s="160">
        <f t="shared" si="27"/>
        <v>495.19210867320317</v>
      </c>
      <c r="V71" s="160">
        <f t="shared" si="27"/>
        <v>524.9036351935954</v>
      </c>
      <c r="W71" s="161">
        <f t="shared" si="27"/>
        <v>556.3978533052111</v>
      </c>
      <c r="X71" s="142" t="s">
        <v>123</v>
      </c>
    </row>
    <row r="72" spans="1:24" ht="15" customHeight="1">
      <c r="A72" s="155" t="s">
        <v>84</v>
      </c>
      <c r="B72" s="209">
        <v>0.1</v>
      </c>
      <c r="C72" s="210">
        <v>0.05</v>
      </c>
      <c r="D72" s="209">
        <f t="shared" si="29"/>
        <v>0.05</v>
      </c>
      <c r="E72" s="210">
        <f t="shared" si="30"/>
        <v>0.05</v>
      </c>
      <c r="F72" s="159">
        <f t="shared" si="24"/>
        <v>389.2923655543291</v>
      </c>
      <c r="G72" s="160">
        <f t="shared" si="24"/>
        <v>428.22160210976205</v>
      </c>
      <c r="H72" s="160">
        <f t="shared" si="24"/>
        <v>471.04376232073827</v>
      </c>
      <c r="I72" s="160">
        <f t="shared" si="24"/>
        <v>518.1481385528122</v>
      </c>
      <c r="J72" s="160">
        <f t="shared" si="24"/>
        <v>569.9629524080934</v>
      </c>
      <c r="K72" s="160">
        <f t="shared" si="24"/>
        <v>626.9592476489028</v>
      </c>
      <c r="L72" s="171">
        <f t="shared" si="31"/>
        <v>689.6551724137931</v>
      </c>
      <c r="M72" s="160">
        <f t="shared" si="25"/>
        <v>724.1379310344828</v>
      </c>
      <c r="N72" s="160">
        <f t="shared" si="25"/>
        <v>760.344827586207</v>
      </c>
      <c r="O72" s="160">
        <f t="shared" si="25"/>
        <v>798.3620689655173</v>
      </c>
      <c r="P72" s="161">
        <f t="shared" si="25"/>
        <v>838.2801724137933</v>
      </c>
      <c r="Q72" s="159">
        <f t="shared" si="26"/>
        <v>880.194181034483</v>
      </c>
      <c r="R72" s="161">
        <f t="shared" si="26"/>
        <v>924.2038900862071</v>
      </c>
      <c r="S72" s="159">
        <f t="shared" si="27"/>
        <v>970.4140845905175</v>
      </c>
      <c r="T72" s="160">
        <f t="shared" si="27"/>
        <v>1018.9347888200434</v>
      </c>
      <c r="U72" s="160">
        <f t="shared" si="27"/>
        <v>1069.8815282610456</v>
      </c>
      <c r="V72" s="160">
        <f t="shared" si="27"/>
        <v>1123.375604674098</v>
      </c>
      <c r="W72" s="161">
        <f t="shared" si="27"/>
        <v>1179.5443849078029</v>
      </c>
      <c r="X72" s="142" t="s">
        <v>116</v>
      </c>
    </row>
    <row r="73" spans="1:24" ht="15" customHeight="1">
      <c r="A73" s="155" t="s">
        <v>86</v>
      </c>
      <c r="B73" s="209">
        <v>0</v>
      </c>
      <c r="C73" s="210">
        <v>0</v>
      </c>
      <c r="D73" s="209">
        <f t="shared" si="29"/>
        <v>0</v>
      </c>
      <c r="E73" s="210">
        <f t="shared" si="30"/>
        <v>0</v>
      </c>
      <c r="F73" s="159">
        <f t="shared" si="24"/>
        <v>68.96551724137932</v>
      </c>
      <c r="G73" s="160">
        <f t="shared" si="24"/>
        <v>68.96551724137932</v>
      </c>
      <c r="H73" s="160">
        <f t="shared" si="24"/>
        <v>68.96551724137932</v>
      </c>
      <c r="I73" s="160">
        <f t="shared" si="24"/>
        <v>68.96551724137932</v>
      </c>
      <c r="J73" s="160">
        <f t="shared" si="24"/>
        <v>68.96551724137932</v>
      </c>
      <c r="K73" s="160">
        <f t="shared" si="24"/>
        <v>68.96551724137932</v>
      </c>
      <c r="L73" s="171">
        <f t="shared" si="31"/>
        <v>68.96551724137932</v>
      </c>
      <c r="M73" s="160">
        <f t="shared" si="25"/>
        <v>68.96551724137932</v>
      </c>
      <c r="N73" s="160">
        <f t="shared" si="25"/>
        <v>68.96551724137932</v>
      </c>
      <c r="O73" s="160">
        <f t="shared" si="25"/>
        <v>68.96551724137932</v>
      </c>
      <c r="P73" s="161">
        <f t="shared" si="25"/>
        <v>68.96551724137932</v>
      </c>
      <c r="Q73" s="159">
        <f t="shared" si="26"/>
        <v>68.96551724137932</v>
      </c>
      <c r="R73" s="161">
        <f t="shared" si="26"/>
        <v>68.96551724137932</v>
      </c>
      <c r="S73" s="159">
        <f t="shared" si="27"/>
        <v>68.96551724137932</v>
      </c>
      <c r="T73" s="160">
        <f t="shared" si="27"/>
        <v>68.96551724137932</v>
      </c>
      <c r="U73" s="160">
        <f t="shared" si="27"/>
        <v>68.96551724137932</v>
      </c>
      <c r="V73" s="160">
        <f t="shared" si="27"/>
        <v>68.96551724137932</v>
      </c>
      <c r="W73" s="161">
        <f t="shared" si="27"/>
        <v>68.96551724137932</v>
      </c>
      <c r="X73" s="142" t="s">
        <v>97</v>
      </c>
    </row>
    <row r="74" spans="1:24" ht="15" customHeight="1">
      <c r="A74" s="212" t="s">
        <v>88</v>
      </c>
      <c r="B74" s="213">
        <v>0.05</v>
      </c>
      <c r="C74" s="214">
        <v>0.05</v>
      </c>
      <c r="D74" s="423">
        <f>'Input - Hyp CAGR MetaMetaverse'!G14</f>
        <v>0.35</v>
      </c>
      <c r="E74" s="424">
        <f>'Input - Hyp CAGR MetaMetaverse'!H14</f>
        <v>0.35</v>
      </c>
      <c r="F74" s="159">
        <f t="shared" si="24"/>
        <v>3.859734810189453</v>
      </c>
      <c r="G74" s="160">
        <f t="shared" si="24"/>
        <v>4.052721550698926</v>
      </c>
      <c r="H74" s="160">
        <f t="shared" si="24"/>
        <v>4.255357628233872</v>
      </c>
      <c r="I74" s="160">
        <f t="shared" si="24"/>
        <v>4.468125509645565</v>
      </c>
      <c r="J74" s="160">
        <f t="shared" si="24"/>
        <v>4.691531785127844</v>
      </c>
      <c r="K74" s="160">
        <f t="shared" si="24"/>
        <v>4.926108374384237</v>
      </c>
      <c r="L74" s="171">
        <f t="shared" si="31"/>
        <v>5.172413793103448</v>
      </c>
      <c r="M74" s="160">
        <f t="shared" si="25"/>
        <v>5.431034482758621</v>
      </c>
      <c r="N74" s="160">
        <f t="shared" si="25"/>
        <v>5.7025862068965525</v>
      </c>
      <c r="O74" s="160">
        <f t="shared" si="25"/>
        <v>5.98771551724138</v>
      </c>
      <c r="P74" s="161">
        <f t="shared" si="25"/>
        <v>6.287101293103449</v>
      </c>
      <c r="Q74" s="159">
        <f t="shared" si="26"/>
        <v>8.487586745689656</v>
      </c>
      <c r="R74" s="161">
        <f t="shared" si="26"/>
        <v>11.458242106681036</v>
      </c>
      <c r="S74" s="159">
        <f t="shared" si="27"/>
        <v>15.468626844019399</v>
      </c>
      <c r="T74" s="160">
        <f t="shared" si="27"/>
        <v>20.88264623942619</v>
      </c>
      <c r="U74" s="160">
        <f t="shared" si="27"/>
        <v>28.19157242322536</v>
      </c>
      <c r="V74" s="160">
        <f t="shared" si="27"/>
        <v>38.05862277135424</v>
      </c>
      <c r="W74" s="161">
        <f t="shared" si="27"/>
        <v>51.37914074132822</v>
      </c>
      <c r="X74" s="142" t="s">
        <v>97</v>
      </c>
    </row>
    <row r="75" spans="1:27" ht="15" customHeight="1">
      <c r="A75" s="155" t="s">
        <v>90</v>
      </c>
      <c r="B75" s="209">
        <v>0.1</v>
      </c>
      <c r="C75" s="210">
        <v>0.08</v>
      </c>
      <c r="D75" s="209">
        <f t="shared" si="29"/>
        <v>0.08</v>
      </c>
      <c r="E75" s="210">
        <f t="shared" si="30"/>
        <v>0.08</v>
      </c>
      <c r="F75" s="159">
        <f t="shared" si="24"/>
        <v>1919.2113621828419</v>
      </c>
      <c r="G75" s="160">
        <f t="shared" si="24"/>
        <v>2111.132498401126</v>
      </c>
      <c r="H75" s="160">
        <f t="shared" si="24"/>
        <v>2322.245748241239</v>
      </c>
      <c r="I75" s="160">
        <f t="shared" si="24"/>
        <v>2554.4703230653636</v>
      </c>
      <c r="J75" s="160">
        <f t="shared" si="24"/>
        <v>2809.9173553719</v>
      </c>
      <c r="K75" s="160">
        <f t="shared" si="24"/>
        <v>3090.9090909090905</v>
      </c>
      <c r="L75" s="190">
        <v>3400</v>
      </c>
      <c r="M75" s="160">
        <f t="shared" si="25"/>
        <v>3672.0000000000005</v>
      </c>
      <c r="N75" s="160">
        <f t="shared" si="25"/>
        <v>3965.7600000000007</v>
      </c>
      <c r="O75" s="160">
        <f t="shared" si="25"/>
        <v>4283.020800000001</v>
      </c>
      <c r="P75" s="161">
        <f t="shared" si="25"/>
        <v>4625.662464000002</v>
      </c>
      <c r="Q75" s="159">
        <f t="shared" si="26"/>
        <v>4995.715461120002</v>
      </c>
      <c r="R75" s="161">
        <f t="shared" si="26"/>
        <v>5395.372698009603</v>
      </c>
      <c r="S75" s="159">
        <f t="shared" si="27"/>
        <v>5827.0025138503715</v>
      </c>
      <c r="T75" s="160">
        <f t="shared" si="27"/>
        <v>6293.162714958402</v>
      </c>
      <c r="U75" s="160">
        <f t="shared" si="27"/>
        <v>6796.6157321550745</v>
      </c>
      <c r="V75" s="160">
        <f t="shared" si="27"/>
        <v>7340.344990727481</v>
      </c>
      <c r="W75" s="161">
        <f t="shared" si="27"/>
        <v>7927.57258998568</v>
      </c>
      <c r="X75" s="142" t="s">
        <v>107</v>
      </c>
      <c r="Y75" s="142"/>
      <c r="Z75" s="142"/>
      <c r="AA75" s="142"/>
    </row>
    <row r="76" spans="1:24" ht="15" customHeight="1">
      <c r="A76" s="155" t="s">
        <v>92</v>
      </c>
      <c r="B76" s="209">
        <v>0</v>
      </c>
      <c r="C76" s="210">
        <v>0</v>
      </c>
      <c r="D76" s="209">
        <f t="shared" si="29"/>
        <v>0</v>
      </c>
      <c r="E76" s="210">
        <f t="shared" si="30"/>
        <v>0</v>
      </c>
      <c r="F76" s="159">
        <f t="shared" si="24"/>
        <v>241.37931034482762</v>
      </c>
      <c r="G76" s="160">
        <f t="shared" si="24"/>
        <v>241.37931034482762</v>
      </c>
      <c r="H76" s="160">
        <f t="shared" si="24"/>
        <v>241.37931034482762</v>
      </c>
      <c r="I76" s="160">
        <f t="shared" si="24"/>
        <v>241.37931034482762</v>
      </c>
      <c r="J76" s="160">
        <f t="shared" si="24"/>
        <v>241.37931034482762</v>
      </c>
      <c r="K76" s="160">
        <f t="shared" si="24"/>
        <v>241.37931034482762</v>
      </c>
      <c r="L76" s="171">
        <f t="shared" si="31"/>
        <v>241.37931034482762</v>
      </c>
      <c r="M76" s="160">
        <f t="shared" si="25"/>
        <v>241.37931034482762</v>
      </c>
      <c r="N76" s="160">
        <f t="shared" si="25"/>
        <v>241.37931034482762</v>
      </c>
      <c r="O76" s="160">
        <f t="shared" si="25"/>
        <v>241.37931034482762</v>
      </c>
      <c r="P76" s="161">
        <f t="shared" si="25"/>
        <v>241.37931034482762</v>
      </c>
      <c r="Q76" s="159">
        <f t="shared" si="26"/>
        <v>241.37931034482762</v>
      </c>
      <c r="R76" s="161">
        <f t="shared" si="26"/>
        <v>241.37931034482762</v>
      </c>
      <c r="S76" s="159">
        <f t="shared" si="27"/>
        <v>241.37931034482762</v>
      </c>
      <c r="T76" s="160">
        <f t="shared" si="27"/>
        <v>241.37931034482762</v>
      </c>
      <c r="U76" s="160">
        <f t="shared" si="27"/>
        <v>241.37931034482762</v>
      </c>
      <c r="V76" s="160">
        <f t="shared" si="27"/>
        <v>241.37931034482762</v>
      </c>
      <c r="W76" s="161">
        <f t="shared" si="27"/>
        <v>241.37931034482762</v>
      </c>
      <c r="X76" s="142" t="s">
        <v>111</v>
      </c>
    </row>
    <row r="77" spans="1:24" ht="15" customHeight="1">
      <c r="A77" s="155" t="s">
        <v>94</v>
      </c>
      <c r="B77" s="209">
        <v>0</v>
      </c>
      <c r="C77" s="210">
        <v>0</v>
      </c>
      <c r="D77" s="209">
        <f t="shared" si="29"/>
        <v>0</v>
      </c>
      <c r="E77" s="210">
        <f t="shared" si="30"/>
        <v>0</v>
      </c>
      <c r="F77" s="159">
        <f t="shared" si="24"/>
        <v>413.7931034482759</v>
      </c>
      <c r="G77" s="160">
        <f t="shared" si="24"/>
        <v>413.7931034482759</v>
      </c>
      <c r="H77" s="160">
        <f t="shared" si="24"/>
        <v>413.7931034482759</v>
      </c>
      <c r="I77" s="160">
        <f t="shared" si="24"/>
        <v>413.7931034482759</v>
      </c>
      <c r="J77" s="160">
        <f t="shared" si="24"/>
        <v>413.7931034482759</v>
      </c>
      <c r="K77" s="160">
        <f t="shared" si="24"/>
        <v>413.7931034482759</v>
      </c>
      <c r="L77" s="171">
        <f t="shared" si="31"/>
        <v>413.7931034482759</v>
      </c>
      <c r="M77" s="160">
        <f t="shared" si="25"/>
        <v>413.7931034482759</v>
      </c>
      <c r="N77" s="160">
        <f t="shared" si="25"/>
        <v>413.7931034482759</v>
      </c>
      <c r="O77" s="160">
        <f t="shared" si="25"/>
        <v>413.7931034482759</v>
      </c>
      <c r="P77" s="161">
        <f t="shared" si="25"/>
        <v>413.7931034482759</v>
      </c>
      <c r="Q77" s="159">
        <f t="shared" si="26"/>
        <v>413.7931034482759</v>
      </c>
      <c r="R77" s="161">
        <f t="shared" si="26"/>
        <v>413.7931034482759</v>
      </c>
      <c r="S77" s="159">
        <f t="shared" si="27"/>
        <v>413.7931034482759</v>
      </c>
      <c r="T77" s="160">
        <f t="shared" si="27"/>
        <v>413.7931034482759</v>
      </c>
      <c r="U77" s="160">
        <f t="shared" si="27"/>
        <v>413.7931034482759</v>
      </c>
      <c r="V77" s="160">
        <f>U77*(1+$E77)</f>
        <v>413.7931034482759</v>
      </c>
      <c r="W77" s="161">
        <f t="shared" si="27"/>
        <v>413.7931034482759</v>
      </c>
      <c r="X77" s="142" t="s">
        <v>111</v>
      </c>
    </row>
    <row r="78" spans="1:24" ht="15" customHeight="1">
      <c r="A78" s="155" t="s">
        <v>96</v>
      </c>
      <c r="B78" s="209">
        <v>0</v>
      </c>
      <c r="C78" s="210">
        <v>0</v>
      </c>
      <c r="D78" s="209">
        <f t="shared" si="29"/>
        <v>0</v>
      </c>
      <c r="E78" s="210">
        <f t="shared" si="30"/>
        <v>0</v>
      </c>
      <c r="F78" s="159">
        <f t="shared" si="24"/>
        <v>413.7931034482759</v>
      </c>
      <c r="G78" s="160">
        <f t="shared" si="24"/>
        <v>413.7931034482759</v>
      </c>
      <c r="H78" s="160">
        <f t="shared" si="24"/>
        <v>413.7931034482759</v>
      </c>
      <c r="I78" s="160">
        <f t="shared" si="24"/>
        <v>413.7931034482759</v>
      </c>
      <c r="J78" s="160">
        <f t="shared" si="24"/>
        <v>413.7931034482759</v>
      </c>
      <c r="K78" s="160">
        <f t="shared" si="24"/>
        <v>413.7931034482759</v>
      </c>
      <c r="L78" s="171">
        <f t="shared" si="31"/>
        <v>413.7931034482759</v>
      </c>
      <c r="M78" s="160">
        <f t="shared" si="25"/>
        <v>413.7931034482759</v>
      </c>
      <c r="N78" s="160">
        <f t="shared" si="25"/>
        <v>413.7931034482759</v>
      </c>
      <c r="O78" s="160">
        <f t="shared" si="25"/>
        <v>413.7931034482759</v>
      </c>
      <c r="P78" s="161">
        <f t="shared" si="25"/>
        <v>413.7931034482759</v>
      </c>
      <c r="Q78" s="159">
        <f t="shared" si="26"/>
        <v>413.7931034482759</v>
      </c>
      <c r="R78" s="161">
        <f t="shared" si="26"/>
        <v>413.7931034482759</v>
      </c>
      <c r="S78" s="159">
        <f t="shared" si="27"/>
        <v>413.7931034482759</v>
      </c>
      <c r="T78" s="160">
        <f t="shared" si="27"/>
        <v>413.7931034482759</v>
      </c>
      <c r="U78" s="160">
        <f t="shared" si="27"/>
        <v>413.7931034482759</v>
      </c>
      <c r="V78" s="160">
        <f t="shared" si="27"/>
        <v>413.7931034482759</v>
      </c>
      <c r="W78" s="161">
        <f t="shared" si="27"/>
        <v>413.7931034482759</v>
      </c>
      <c r="X78" s="142" t="s">
        <v>97</v>
      </c>
    </row>
    <row r="79" spans="1:24" ht="15" customHeight="1">
      <c r="A79" s="155" t="s">
        <v>5</v>
      </c>
      <c r="B79" s="209">
        <v>0.01</v>
      </c>
      <c r="C79" s="210">
        <v>0.04</v>
      </c>
      <c r="D79" s="423">
        <f>'Input - Hyp CAGR MetaMetaverse'!G6</f>
        <v>0.07012954514109704</v>
      </c>
      <c r="E79" s="424">
        <f>'Input - Hyp CAGR MetaMetaverse'!H6</f>
        <v>0.07012954514109704</v>
      </c>
      <c r="F79" s="159">
        <f t="shared" si="24"/>
        <v>162.42159228520805</v>
      </c>
      <c r="G79" s="160">
        <f t="shared" si="24"/>
        <v>164.04580820806012</v>
      </c>
      <c r="H79" s="160">
        <f t="shared" si="24"/>
        <v>165.68626629014074</v>
      </c>
      <c r="I79" s="160">
        <f t="shared" si="24"/>
        <v>167.34312895304214</v>
      </c>
      <c r="J79" s="160">
        <f t="shared" si="24"/>
        <v>169.01656024257255</v>
      </c>
      <c r="K79" s="160">
        <f t="shared" si="24"/>
        <v>170.7067258449983</v>
      </c>
      <c r="L79" s="171">
        <f t="shared" si="31"/>
        <v>172.41379310344828</v>
      </c>
      <c r="M79" s="160">
        <f t="shared" si="25"/>
        <v>179.31034482758622</v>
      </c>
      <c r="N79" s="160">
        <f t="shared" si="25"/>
        <v>186.48275862068968</v>
      </c>
      <c r="O79" s="160">
        <f t="shared" si="25"/>
        <v>193.94206896551728</v>
      </c>
      <c r="P79" s="161">
        <f t="shared" si="25"/>
        <v>201.69975172413797</v>
      </c>
      <c r="Q79" s="159">
        <f t="shared" si="26"/>
        <v>215.84486356762397</v>
      </c>
      <c r="R79" s="161">
        <f t="shared" si="26"/>
        <v>230.98196567066358</v>
      </c>
      <c r="S79" s="159">
        <f t="shared" si="27"/>
        <v>247.1806258589437</v>
      </c>
      <c r="T79" s="160">
        <f t="shared" si="27"/>
        <v>264.5152907181231</v>
      </c>
      <c r="U79" s="160">
        <f t="shared" si="27"/>
        <v>283.0656277390501</v>
      </c>
      <c r="V79" s="160">
        <f t="shared" si="27"/>
        <v>302.9168914574688</v>
      </c>
      <c r="W79" s="161">
        <f t="shared" si="27"/>
        <v>324.16031527093617</v>
      </c>
      <c r="X79" s="142" t="s">
        <v>124</v>
      </c>
    </row>
    <row r="80" spans="1:24" ht="14.4" customHeight="1">
      <c r="A80" s="155" t="s">
        <v>33</v>
      </c>
      <c r="B80" s="209">
        <v>0.03</v>
      </c>
      <c r="C80" s="210">
        <v>0.04</v>
      </c>
      <c r="D80" s="209">
        <f t="shared" si="29"/>
        <v>0.04</v>
      </c>
      <c r="E80" s="210">
        <f t="shared" si="30"/>
        <v>0.04</v>
      </c>
      <c r="F80" s="159">
        <f t="shared" si="24"/>
        <v>231.03013977480123</v>
      </c>
      <c r="G80" s="160">
        <f t="shared" si="24"/>
        <v>237.96104396804526</v>
      </c>
      <c r="H80" s="160">
        <f t="shared" si="24"/>
        <v>245.09987528708663</v>
      </c>
      <c r="I80" s="160">
        <f t="shared" si="24"/>
        <v>252.45287154569922</v>
      </c>
      <c r="J80" s="160">
        <f t="shared" si="24"/>
        <v>260.0264576920702</v>
      </c>
      <c r="K80" s="160">
        <f t="shared" si="24"/>
        <v>267.8272514228323</v>
      </c>
      <c r="L80" s="171">
        <f t="shared" si="31"/>
        <v>275.86206896551727</v>
      </c>
      <c r="M80" s="160">
        <f t="shared" si="25"/>
        <v>286.89655172413796</v>
      </c>
      <c r="N80" s="160">
        <f t="shared" si="25"/>
        <v>298.3724137931035</v>
      </c>
      <c r="O80" s="160">
        <f t="shared" si="25"/>
        <v>310.3073103448276</v>
      </c>
      <c r="P80" s="161">
        <f t="shared" si="25"/>
        <v>322.71960275862074</v>
      </c>
      <c r="Q80" s="159">
        <f t="shared" si="26"/>
        <v>335.6283868689656</v>
      </c>
      <c r="R80" s="161">
        <f t="shared" si="26"/>
        <v>349.05352234372424</v>
      </c>
      <c r="S80" s="159">
        <f t="shared" si="27"/>
        <v>363.01566323747323</v>
      </c>
      <c r="T80" s="160">
        <f t="shared" si="27"/>
        <v>377.5362897669722</v>
      </c>
      <c r="U80" s="160">
        <f t="shared" si="27"/>
        <v>392.63774135765107</v>
      </c>
      <c r="V80" s="160">
        <f t="shared" si="27"/>
        <v>408.34325101195714</v>
      </c>
      <c r="W80" s="161">
        <f t="shared" si="27"/>
        <v>424.67698105243545</v>
      </c>
      <c r="X80" s="142" t="s">
        <v>97</v>
      </c>
    </row>
    <row r="81" spans="1:24" ht="15" customHeight="1">
      <c r="A81" s="155" t="s">
        <v>101</v>
      </c>
      <c r="B81" s="209">
        <v>0.1</v>
      </c>
      <c r="C81" s="210">
        <v>0.08</v>
      </c>
      <c r="D81" s="209">
        <f t="shared" si="29"/>
        <v>0.08</v>
      </c>
      <c r="E81" s="210">
        <f t="shared" si="30"/>
        <v>0.08</v>
      </c>
      <c r="F81" s="159">
        <f t="shared" si="24"/>
        <v>2530.400376103139</v>
      </c>
      <c r="G81" s="160">
        <f t="shared" si="24"/>
        <v>2783.440413713453</v>
      </c>
      <c r="H81" s="160">
        <f t="shared" si="24"/>
        <v>3061.7844550847985</v>
      </c>
      <c r="I81" s="160">
        <f t="shared" si="24"/>
        <v>3367.962900593279</v>
      </c>
      <c r="J81" s="160">
        <f t="shared" si="24"/>
        <v>3704.7591906526072</v>
      </c>
      <c r="K81" s="160">
        <f t="shared" si="24"/>
        <v>4075.2351097178685</v>
      </c>
      <c r="L81" s="171">
        <f t="shared" si="31"/>
        <v>4482.758620689656</v>
      </c>
      <c r="M81" s="160">
        <f t="shared" si="25"/>
        <v>4841.379310344829</v>
      </c>
      <c r="N81" s="160">
        <f t="shared" si="25"/>
        <v>5228.689655172416</v>
      </c>
      <c r="O81" s="160">
        <f t="shared" si="25"/>
        <v>5646.98482758621</v>
      </c>
      <c r="P81" s="161">
        <f t="shared" si="25"/>
        <v>6098.743613793106</v>
      </c>
      <c r="Q81" s="159">
        <f t="shared" si="26"/>
        <v>6586.643102896555</v>
      </c>
      <c r="R81" s="161">
        <f t="shared" si="26"/>
        <v>7113.57455112828</v>
      </c>
      <c r="S81" s="159">
        <f t="shared" si="27"/>
        <v>7682.660515218543</v>
      </c>
      <c r="T81" s="160">
        <f t="shared" si="27"/>
        <v>8297.273356436028</v>
      </c>
      <c r="U81" s="160">
        <f t="shared" si="27"/>
        <v>8961.055224950911</v>
      </c>
      <c r="V81" s="160">
        <f t="shared" si="27"/>
        <v>9677.939642946985</v>
      </c>
      <c r="W81" s="161">
        <f t="shared" si="27"/>
        <v>10452.174814382744</v>
      </c>
      <c r="X81" s="142" t="s">
        <v>125</v>
      </c>
    </row>
    <row r="82" spans="1:24" ht="15" customHeight="1">
      <c r="A82" s="178" t="s">
        <v>16</v>
      </c>
      <c r="B82" s="217">
        <v>0.03</v>
      </c>
      <c r="C82" s="218">
        <v>0.03</v>
      </c>
      <c r="D82" s="425">
        <f>'Input - Hyp CAGR MetaMetaverse'!G22</f>
        <v>0.03</v>
      </c>
      <c r="E82" s="426">
        <f>'Input - Hyp CAGR MetaMetaverse'!H22</f>
        <v>0.03</v>
      </c>
      <c r="F82" s="219">
        <f t="shared" si="24"/>
        <v>144.39383735925077</v>
      </c>
      <c r="G82" s="220">
        <f t="shared" si="24"/>
        <v>148.7256524800283</v>
      </c>
      <c r="H82" s="220">
        <f t="shared" si="24"/>
        <v>153.18742205442913</v>
      </c>
      <c r="I82" s="220">
        <f t="shared" si="24"/>
        <v>157.78304471606202</v>
      </c>
      <c r="J82" s="220">
        <f t="shared" si="24"/>
        <v>162.51653605754387</v>
      </c>
      <c r="K82" s="220">
        <f t="shared" si="24"/>
        <v>167.39203213927019</v>
      </c>
      <c r="L82" s="221">
        <f t="shared" si="31"/>
        <v>172.41379310344828</v>
      </c>
      <c r="M82" s="220">
        <f t="shared" si="25"/>
        <v>177.58620689655174</v>
      </c>
      <c r="N82" s="220">
        <f t="shared" si="25"/>
        <v>182.9137931034483</v>
      </c>
      <c r="O82" s="220">
        <f t="shared" si="25"/>
        <v>188.40120689655177</v>
      </c>
      <c r="P82" s="222">
        <f t="shared" si="25"/>
        <v>194.05324310344832</v>
      </c>
      <c r="Q82" s="219">
        <f t="shared" si="26"/>
        <v>199.87484039655178</v>
      </c>
      <c r="R82" s="222">
        <f t="shared" si="26"/>
        <v>205.87108560844834</v>
      </c>
      <c r="S82" s="219">
        <f t="shared" si="27"/>
        <v>212.0472181767018</v>
      </c>
      <c r="T82" s="220">
        <f t="shared" si="27"/>
        <v>218.40863472200286</v>
      </c>
      <c r="U82" s="220">
        <f t="shared" si="27"/>
        <v>224.96089376366294</v>
      </c>
      <c r="V82" s="220">
        <f t="shared" si="27"/>
        <v>231.70972057657283</v>
      </c>
      <c r="W82" s="222">
        <f t="shared" si="27"/>
        <v>238.66101219387002</v>
      </c>
      <c r="X82" s="142" t="s">
        <v>97</v>
      </c>
    </row>
    <row r="83" spans="1:24" ht="25.25" customHeight="1">
      <c r="A83" s="236"/>
      <c r="B83" s="237"/>
      <c r="C83" s="416"/>
      <c r="D83" s="416"/>
      <c r="E83" s="416"/>
      <c r="F83" s="417"/>
      <c r="G83" s="238"/>
      <c r="H83" s="238"/>
      <c r="I83" s="238"/>
      <c r="J83" s="417"/>
      <c r="K83" s="417"/>
      <c r="L83" s="239"/>
      <c r="M83" s="238"/>
      <c r="N83" s="238"/>
      <c r="O83" s="238"/>
      <c r="P83" s="238"/>
      <c r="Q83" s="238"/>
      <c r="R83" s="238"/>
      <c r="S83" s="238"/>
      <c r="T83" s="238"/>
      <c r="U83" s="238"/>
      <c r="V83" s="238"/>
      <c r="W83" s="238"/>
      <c r="X83" s="142"/>
    </row>
    <row r="84" spans="1:24" ht="27.75" customHeight="1">
      <c r="A84" s="151" t="s">
        <v>126</v>
      </c>
      <c r="B84" s="153" t="s">
        <v>354</v>
      </c>
      <c r="C84" s="154" t="s">
        <v>71</v>
      </c>
      <c r="D84" s="153" t="s">
        <v>72</v>
      </c>
      <c r="E84" s="154" t="s">
        <v>73</v>
      </c>
      <c r="F84" s="153">
        <v>2013</v>
      </c>
      <c r="G84" s="152">
        <v>2014</v>
      </c>
      <c r="H84" s="152">
        <v>2015</v>
      </c>
      <c r="I84" s="152">
        <v>2016</v>
      </c>
      <c r="J84" s="152">
        <v>2017</v>
      </c>
      <c r="K84" s="152">
        <v>2018</v>
      </c>
      <c r="L84" s="152">
        <v>2019</v>
      </c>
      <c r="M84" s="152">
        <v>2020</v>
      </c>
      <c r="N84" s="152">
        <v>2021</v>
      </c>
      <c r="O84" s="152">
        <v>2022</v>
      </c>
      <c r="P84" s="154">
        <v>2023</v>
      </c>
      <c r="Q84" s="153">
        <v>2024</v>
      </c>
      <c r="R84" s="154">
        <v>2025</v>
      </c>
      <c r="S84" s="153">
        <v>2026</v>
      </c>
      <c r="T84" s="152">
        <v>2027</v>
      </c>
      <c r="U84" s="152">
        <v>2028</v>
      </c>
      <c r="V84" s="152">
        <v>2029</v>
      </c>
      <c r="W84" s="154">
        <v>2030</v>
      </c>
      <c r="X84" s="142"/>
    </row>
    <row r="85" spans="1:24" ht="15" customHeight="1">
      <c r="A85" s="155" t="s">
        <v>74</v>
      </c>
      <c r="B85" s="209">
        <v>-0.05</v>
      </c>
      <c r="C85" s="210">
        <v>-0.01</v>
      </c>
      <c r="D85" s="209">
        <f aca="true" t="shared" si="33" ref="D85:D100">C85</f>
        <v>-0.01</v>
      </c>
      <c r="E85" s="210">
        <f aca="true" t="shared" si="34" ref="E85:E100">C85</f>
        <v>-0.01</v>
      </c>
      <c r="F85" s="159">
        <f t="shared" si="24"/>
        <v>635.2947243139098</v>
      </c>
      <c r="G85" s="160">
        <f aca="true" t="shared" si="35" ref="G85:K86">H85/(1+$B85)</f>
        <v>603.5299880982143</v>
      </c>
      <c r="H85" s="171">
        <f t="shared" si="35"/>
        <v>573.3534886933036</v>
      </c>
      <c r="I85" s="160">
        <f t="shared" si="35"/>
        <v>544.6858142586384</v>
      </c>
      <c r="J85" s="160">
        <f t="shared" si="35"/>
        <v>517.4515235457064</v>
      </c>
      <c r="K85" s="160">
        <f t="shared" si="35"/>
        <v>491.5789473684211</v>
      </c>
      <c r="L85" s="168">
        <v>467</v>
      </c>
      <c r="M85" s="160">
        <f t="shared" si="25"/>
        <v>462.33</v>
      </c>
      <c r="N85" s="160">
        <f t="shared" si="25"/>
        <v>457.70669999999996</v>
      </c>
      <c r="O85" s="168">
        <f t="shared" si="25"/>
        <v>453.12963299999996</v>
      </c>
      <c r="P85" s="169">
        <f t="shared" si="25"/>
        <v>448.5983366699999</v>
      </c>
      <c r="Q85" s="170">
        <f t="shared" si="26"/>
        <v>444.1123533032999</v>
      </c>
      <c r="R85" s="169">
        <f>Q85*(1+$D85)</f>
        <v>439.6712297702669</v>
      </c>
      <c r="S85" s="170">
        <f t="shared" si="27"/>
        <v>435.27451747256424</v>
      </c>
      <c r="T85" s="168">
        <f aca="true" t="shared" si="36" ref="T85:W85">S85*(1+$E85)</f>
        <v>430.9217722978386</v>
      </c>
      <c r="U85" s="168">
        <f t="shared" si="36"/>
        <v>426.61255457486016</v>
      </c>
      <c r="V85" s="168">
        <f t="shared" si="36"/>
        <v>422.34642902911156</v>
      </c>
      <c r="W85" s="169">
        <f t="shared" si="36"/>
        <v>418.12296473882043</v>
      </c>
      <c r="X85" s="142" t="s">
        <v>127</v>
      </c>
    </row>
    <row r="86" spans="1:24" ht="15" customHeight="1">
      <c r="A86" s="155" t="s">
        <v>76</v>
      </c>
      <c r="B86" s="209">
        <v>0</v>
      </c>
      <c r="C86" s="210">
        <v>0</v>
      </c>
      <c r="D86" s="209">
        <f t="shared" si="33"/>
        <v>0</v>
      </c>
      <c r="E86" s="210">
        <f t="shared" si="34"/>
        <v>0</v>
      </c>
      <c r="F86" s="159">
        <f t="shared" si="24"/>
        <v>850</v>
      </c>
      <c r="G86" s="160">
        <f t="shared" si="35"/>
        <v>850</v>
      </c>
      <c r="H86" s="160">
        <f t="shared" si="35"/>
        <v>850</v>
      </c>
      <c r="I86" s="160">
        <f t="shared" si="35"/>
        <v>850</v>
      </c>
      <c r="J86" s="160">
        <f t="shared" si="35"/>
        <v>850</v>
      </c>
      <c r="K86" s="160">
        <f t="shared" si="35"/>
        <v>850</v>
      </c>
      <c r="L86" s="190">
        <v>850</v>
      </c>
      <c r="M86" s="160">
        <f t="shared" si="25"/>
        <v>850</v>
      </c>
      <c r="N86" s="160">
        <f t="shared" si="25"/>
        <v>850</v>
      </c>
      <c r="O86" s="168">
        <f t="shared" si="25"/>
        <v>850</v>
      </c>
      <c r="P86" s="169">
        <f t="shared" si="25"/>
        <v>850</v>
      </c>
      <c r="Q86" s="170">
        <f t="shared" si="26"/>
        <v>850</v>
      </c>
      <c r="R86" s="169">
        <f t="shared" si="26"/>
        <v>850</v>
      </c>
      <c r="S86" s="170">
        <f t="shared" si="27"/>
        <v>850</v>
      </c>
      <c r="T86" s="168">
        <f t="shared" si="27"/>
        <v>850</v>
      </c>
      <c r="U86" s="168">
        <f t="shared" si="27"/>
        <v>850</v>
      </c>
      <c r="V86" s="168">
        <f t="shared" si="27"/>
        <v>850</v>
      </c>
      <c r="W86" s="169">
        <f t="shared" si="27"/>
        <v>850</v>
      </c>
      <c r="X86" s="142" t="s">
        <v>128</v>
      </c>
    </row>
    <row r="87" spans="1:24" ht="15" customHeight="1">
      <c r="A87" s="155" t="s">
        <v>78</v>
      </c>
      <c r="B87" s="209">
        <v>-0.01</v>
      </c>
      <c r="C87" s="210">
        <v>0.01</v>
      </c>
      <c r="D87" s="209">
        <f t="shared" si="33"/>
        <v>0.01</v>
      </c>
      <c r="E87" s="210">
        <f t="shared" si="34"/>
        <v>0.01</v>
      </c>
      <c r="F87" s="159">
        <f t="shared" si="24"/>
        <v>884.7770189631524</v>
      </c>
      <c r="G87" s="160">
        <f t="shared" si="24"/>
        <v>875.9292487735208</v>
      </c>
      <c r="H87" s="160">
        <f t="shared" si="24"/>
        <v>867.1699562857856</v>
      </c>
      <c r="I87" s="171">
        <f t="shared" si="24"/>
        <v>858.4982567229277</v>
      </c>
      <c r="J87" s="171">
        <f t="shared" si="24"/>
        <v>849.9132741556984</v>
      </c>
      <c r="K87" s="160">
        <f t="shared" si="24"/>
        <v>841.4141414141415</v>
      </c>
      <c r="L87" s="168">
        <f>1300-L85</f>
        <v>833</v>
      </c>
      <c r="M87" s="160">
        <f t="shared" si="25"/>
        <v>841.33</v>
      </c>
      <c r="N87" s="160">
        <f t="shared" si="25"/>
        <v>849.7433000000001</v>
      </c>
      <c r="O87" s="168">
        <f t="shared" si="25"/>
        <v>858.2407330000001</v>
      </c>
      <c r="P87" s="169">
        <f t="shared" si="25"/>
        <v>866.8231403300001</v>
      </c>
      <c r="Q87" s="170">
        <f t="shared" si="26"/>
        <v>875.4913717333001</v>
      </c>
      <c r="R87" s="169">
        <f t="shared" si="26"/>
        <v>884.2462854506331</v>
      </c>
      <c r="S87" s="170">
        <f t="shared" si="27"/>
        <v>893.0887483051395</v>
      </c>
      <c r="T87" s="168">
        <f t="shared" si="27"/>
        <v>902.0196357881908</v>
      </c>
      <c r="U87" s="168">
        <f t="shared" si="27"/>
        <v>911.0398321460727</v>
      </c>
      <c r="V87" s="168">
        <f t="shared" si="27"/>
        <v>920.1502304675334</v>
      </c>
      <c r="W87" s="169">
        <f t="shared" si="27"/>
        <v>929.3517327722088</v>
      </c>
      <c r="X87" s="142" t="s">
        <v>129</v>
      </c>
    </row>
    <row r="88" spans="1:24" ht="15" customHeight="1">
      <c r="A88" s="155" t="s">
        <v>79</v>
      </c>
      <c r="B88" s="209">
        <v>0.01</v>
      </c>
      <c r="C88" s="210">
        <v>0.01</v>
      </c>
      <c r="D88" s="209">
        <f t="shared" si="33"/>
        <v>0.01</v>
      </c>
      <c r="E88" s="210">
        <f t="shared" si="34"/>
        <v>0.01</v>
      </c>
      <c r="F88" s="159">
        <f t="shared" si="24"/>
        <v>659.4316646779448</v>
      </c>
      <c r="G88" s="160">
        <f t="shared" si="24"/>
        <v>666.0259813247243</v>
      </c>
      <c r="H88" s="160">
        <f t="shared" si="24"/>
        <v>672.6862411379715</v>
      </c>
      <c r="I88" s="160">
        <f t="shared" si="24"/>
        <v>679.4131035493511</v>
      </c>
      <c r="J88" s="160">
        <f t="shared" si="24"/>
        <v>686.2072345848446</v>
      </c>
      <c r="K88" s="160">
        <f t="shared" si="24"/>
        <v>693.0693069306931</v>
      </c>
      <c r="L88" s="190">
        <v>700</v>
      </c>
      <c r="M88" s="160">
        <f t="shared" si="25"/>
        <v>707</v>
      </c>
      <c r="N88" s="160">
        <f t="shared" si="25"/>
        <v>714.07</v>
      </c>
      <c r="O88" s="168">
        <f t="shared" si="25"/>
        <v>721.2107000000001</v>
      </c>
      <c r="P88" s="169">
        <f t="shared" si="25"/>
        <v>728.4228070000001</v>
      </c>
      <c r="Q88" s="170">
        <f t="shared" si="26"/>
        <v>735.7070350700002</v>
      </c>
      <c r="R88" s="169">
        <f t="shared" si="26"/>
        <v>743.0641054207002</v>
      </c>
      <c r="S88" s="170">
        <f t="shared" si="27"/>
        <v>750.4947464749073</v>
      </c>
      <c r="T88" s="168">
        <f t="shared" si="27"/>
        <v>757.9996939396564</v>
      </c>
      <c r="U88" s="168">
        <f t="shared" si="27"/>
        <v>765.5796908790529</v>
      </c>
      <c r="V88" s="168">
        <f t="shared" si="27"/>
        <v>773.2354877878435</v>
      </c>
      <c r="W88" s="169">
        <f t="shared" si="27"/>
        <v>780.967842665722</v>
      </c>
      <c r="X88" s="142" t="s">
        <v>130</v>
      </c>
    </row>
    <row r="89" spans="1:24" ht="15" customHeight="1">
      <c r="A89" s="155" t="s">
        <v>81</v>
      </c>
      <c r="B89" s="209">
        <v>0.1</v>
      </c>
      <c r="C89" s="210">
        <v>0.02</v>
      </c>
      <c r="D89" s="209">
        <f t="shared" si="33"/>
        <v>0.02</v>
      </c>
      <c r="E89" s="210">
        <f t="shared" si="34"/>
        <v>0.02</v>
      </c>
      <c r="F89" s="159">
        <f t="shared" si="24"/>
        <v>626.5660623596928</v>
      </c>
      <c r="G89" s="160">
        <f t="shared" si="24"/>
        <v>689.2226685956621</v>
      </c>
      <c r="H89" s="168">
        <f t="shared" si="24"/>
        <v>758.1449354552283</v>
      </c>
      <c r="I89" s="168">
        <f t="shared" si="24"/>
        <v>833.9594290007511</v>
      </c>
      <c r="J89" s="160">
        <f t="shared" si="24"/>
        <v>917.3553719008263</v>
      </c>
      <c r="K89" s="160">
        <f t="shared" si="24"/>
        <v>1009.090909090909</v>
      </c>
      <c r="L89" s="171">
        <v>1110</v>
      </c>
      <c r="M89" s="160">
        <f t="shared" si="25"/>
        <v>1132.2</v>
      </c>
      <c r="N89" s="160">
        <f t="shared" si="25"/>
        <v>1154.844</v>
      </c>
      <c r="O89" s="168">
        <f t="shared" si="25"/>
        <v>1177.94088</v>
      </c>
      <c r="P89" s="169">
        <f t="shared" si="25"/>
        <v>1201.4996976000002</v>
      </c>
      <c r="Q89" s="170">
        <f t="shared" si="26"/>
        <v>1225.5296915520003</v>
      </c>
      <c r="R89" s="169">
        <f t="shared" si="26"/>
        <v>1250.0402853830403</v>
      </c>
      <c r="S89" s="170">
        <f t="shared" si="27"/>
        <v>1275.0410910907012</v>
      </c>
      <c r="T89" s="168">
        <f t="shared" si="27"/>
        <v>1300.5419129125153</v>
      </c>
      <c r="U89" s="168">
        <f t="shared" si="27"/>
        <v>1326.5527511707655</v>
      </c>
      <c r="V89" s="168">
        <f t="shared" si="27"/>
        <v>1353.0838061941809</v>
      </c>
      <c r="W89" s="169">
        <f t="shared" si="27"/>
        <v>1380.1454823180645</v>
      </c>
      <c r="X89" s="142" t="s">
        <v>130</v>
      </c>
    </row>
    <row r="90" spans="1:24" ht="15" customHeight="1">
      <c r="A90" s="155" t="s">
        <v>30</v>
      </c>
      <c r="B90" s="209">
        <v>0.09</v>
      </c>
      <c r="C90" s="210">
        <v>0.07</v>
      </c>
      <c r="D90" s="209">
        <f t="shared" si="33"/>
        <v>0.07</v>
      </c>
      <c r="E90" s="191">
        <f>'Update Scenarios'!D8</f>
        <v>0.05</v>
      </c>
      <c r="F90" s="159">
        <f t="shared" si="24"/>
        <v>2558.583099638715</v>
      </c>
      <c r="G90" s="160">
        <f t="shared" si="24"/>
        <v>2788.8555786061993</v>
      </c>
      <c r="H90" s="171">
        <f t="shared" si="24"/>
        <v>3039.8525806807575</v>
      </c>
      <c r="I90" s="160">
        <f t="shared" si="24"/>
        <v>3313.439312942026</v>
      </c>
      <c r="J90" s="160">
        <f t="shared" si="24"/>
        <v>3611.6488511068087</v>
      </c>
      <c r="K90" s="171">
        <f t="shared" si="24"/>
        <v>3936.697247706422</v>
      </c>
      <c r="L90" s="160">
        <v>4291</v>
      </c>
      <c r="M90" s="160">
        <f t="shared" si="25"/>
        <v>4591.37</v>
      </c>
      <c r="N90" s="160">
        <f t="shared" si="25"/>
        <v>4912.7659</v>
      </c>
      <c r="O90" s="168">
        <f t="shared" si="25"/>
        <v>5256.6595130000005</v>
      </c>
      <c r="P90" s="226">
        <f t="shared" si="25"/>
        <v>5624.625678910001</v>
      </c>
      <c r="Q90" s="170">
        <f t="shared" si="26"/>
        <v>6018.349476433701</v>
      </c>
      <c r="R90" s="169">
        <f t="shared" si="26"/>
        <v>6439.63393978406</v>
      </c>
      <c r="S90" s="170">
        <f t="shared" si="27"/>
        <v>6761.615636773264</v>
      </c>
      <c r="T90" s="168">
        <f t="shared" si="27"/>
        <v>7099.696418611928</v>
      </c>
      <c r="U90" s="168">
        <f t="shared" si="27"/>
        <v>7454.681239542524</v>
      </c>
      <c r="V90" s="168">
        <f t="shared" si="27"/>
        <v>7827.415301519651</v>
      </c>
      <c r="W90" s="169">
        <f t="shared" si="27"/>
        <v>8218.786066595634</v>
      </c>
      <c r="X90" s="142" t="s">
        <v>131</v>
      </c>
    </row>
    <row r="91" spans="1:24" ht="15" customHeight="1">
      <c r="A91" s="155" t="s">
        <v>84</v>
      </c>
      <c r="B91" s="209">
        <v>0.1</v>
      </c>
      <c r="C91" s="210">
        <v>0.09</v>
      </c>
      <c r="D91" s="209">
        <f t="shared" si="33"/>
        <v>0.09</v>
      </c>
      <c r="E91" s="210">
        <f t="shared" si="34"/>
        <v>0.09</v>
      </c>
      <c r="F91" s="159">
        <f t="shared" si="24"/>
        <v>358.4409455841485</v>
      </c>
      <c r="G91" s="160">
        <f t="shared" si="24"/>
        <v>394.2850401425634</v>
      </c>
      <c r="H91" s="160">
        <f t="shared" si="24"/>
        <v>433.71354415681975</v>
      </c>
      <c r="I91" s="171">
        <f t="shared" si="24"/>
        <v>477.08489857250174</v>
      </c>
      <c r="J91" s="160">
        <f t="shared" si="24"/>
        <v>524.793388429752</v>
      </c>
      <c r="K91" s="160">
        <f t="shared" si="24"/>
        <v>577.2727272727273</v>
      </c>
      <c r="L91" s="171">
        <v>635</v>
      </c>
      <c r="M91" s="160">
        <f t="shared" si="25"/>
        <v>692.1500000000001</v>
      </c>
      <c r="N91" s="171">
        <f t="shared" si="25"/>
        <v>754.4435000000002</v>
      </c>
      <c r="O91" s="168">
        <f t="shared" si="25"/>
        <v>822.3434150000003</v>
      </c>
      <c r="P91" s="169">
        <f t="shared" si="25"/>
        <v>896.3543223500004</v>
      </c>
      <c r="Q91" s="170">
        <f t="shared" si="26"/>
        <v>977.0262113615005</v>
      </c>
      <c r="R91" s="169">
        <f t="shared" si="26"/>
        <v>1064.9585703840355</v>
      </c>
      <c r="S91" s="170">
        <f t="shared" si="27"/>
        <v>1160.8048417185987</v>
      </c>
      <c r="T91" s="168">
        <f t="shared" si="27"/>
        <v>1265.2772774732728</v>
      </c>
      <c r="U91" s="168">
        <f t="shared" si="27"/>
        <v>1379.1522324458674</v>
      </c>
      <c r="V91" s="168">
        <f t="shared" si="27"/>
        <v>1503.2759333659956</v>
      </c>
      <c r="W91" s="169">
        <f t="shared" si="27"/>
        <v>1638.5707673689353</v>
      </c>
      <c r="X91" s="142" t="s">
        <v>132</v>
      </c>
    </row>
    <row r="92" spans="1:24" ht="15" customHeight="1">
      <c r="A92" s="155" t="s">
        <v>86</v>
      </c>
      <c r="B92" s="209">
        <v>-0.15</v>
      </c>
      <c r="C92" s="210">
        <v>-0.09</v>
      </c>
      <c r="D92" s="209">
        <f t="shared" si="33"/>
        <v>-0.09</v>
      </c>
      <c r="E92" s="210">
        <f t="shared" si="34"/>
        <v>-0.09</v>
      </c>
      <c r="F92" s="159">
        <f t="shared" si="24"/>
        <v>5732.474550357578</v>
      </c>
      <c r="G92" s="160">
        <f t="shared" si="24"/>
        <v>4872.603367803941</v>
      </c>
      <c r="H92" s="160">
        <f t="shared" si="24"/>
        <v>4141.71286263335</v>
      </c>
      <c r="I92" s="160">
        <f t="shared" si="24"/>
        <v>3520.4559332383474</v>
      </c>
      <c r="J92" s="160">
        <f t="shared" si="24"/>
        <v>2992.387543252595</v>
      </c>
      <c r="K92" s="171">
        <f t="shared" si="24"/>
        <v>2543.529411764706</v>
      </c>
      <c r="L92" s="171">
        <v>2162</v>
      </c>
      <c r="M92" s="160">
        <f t="shared" si="25"/>
        <v>1967.42</v>
      </c>
      <c r="N92" s="160">
        <f t="shared" si="25"/>
        <v>1790.3522</v>
      </c>
      <c r="O92" s="168">
        <f t="shared" si="25"/>
        <v>1629.2205020000001</v>
      </c>
      <c r="P92" s="226">
        <f t="shared" si="25"/>
        <v>1482.5906568200003</v>
      </c>
      <c r="Q92" s="170">
        <f t="shared" si="26"/>
        <v>1349.1574977062003</v>
      </c>
      <c r="R92" s="169">
        <f t="shared" si="26"/>
        <v>1227.7333229126423</v>
      </c>
      <c r="S92" s="170">
        <f t="shared" si="27"/>
        <v>1117.2373238505045</v>
      </c>
      <c r="T92" s="168">
        <f t="shared" si="27"/>
        <v>1016.6859647039591</v>
      </c>
      <c r="U92" s="168">
        <f t="shared" si="27"/>
        <v>925.1842278806029</v>
      </c>
      <c r="V92" s="168">
        <f t="shared" si="27"/>
        <v>841.9176473713486</v>
      </c>
      <c r="W92" s="169">
        <f t="shared" si="27"/>
        <v>766.1450591079273</v>
      </c>
      <c r="X92" s="142" t="s">
        <v>133</v>
      </c>
    </row>
    <row r="93" spans="1:24" ht="15" customHeight="1">
      <c r="A93" s="212" t="s">
        <v>88</v>
      </c>
      <c r="B93" s="209">
        <v>0.25</v>
      </c>
      <c r="C93" s="227">
        <v>0.17</v>
      </c>
      <c r="D93" s="423">
        <f>'Input - Hyp CAGR MetaMetaverse'!G15</f>
        <v>0.2</v>
      </c>
      <c r="E93" s="424">
        <f>'Input - Hyp CAGR MetaMetaverse'!H15</f>
        <v>0.2</v>
      </c>
      <c r="F93" s="159">
        <f t="shared" si="24"/>
        <v>2175.7952</v>
      </c>
      <c r="G93" s="160">
        <f t="shared" si="24"/>
        <v>2719.744</v>
      </c>
      <c r="H93" s="168">
        <f t="shared" si="24"/>
        <v>3399.6800000000003</v>
      </c>
      <c r="I93" s="168">
        <f t="shared" si="24"/>
        <v>4249.6</v>
      </c>
      <c r="J93" s="190">
        <f t="shared" si="24"/>
        <v>5312</v>
      </c>
      <c r="K93" s="168">
        <f t="shared" si="24"/>
        <v>6640</v>
      </c>
      <c r="L93" s="190">
        <v>8300</v>
      </c>
      <c r="M93" s="168">
        <f t="shared" si="25"/>
        <v>9711</v>
      </c>
      <c r="N93" s="160">
        <f t="shared" si="25"/>
        <v>11361.869999999999</v>
      </c>
      <c r="O93" s="168">
        <f t="shared" si="25"/>
        <v>13293.387899999998</v>
      </c>
      <c r="P93" s="169">
        <f t="shared" si="25"/>
        <v>15553.263842999997</v>
      </c>
      <c r="Q93" s="170">
        <f t="shared" si="26"/>
        <v>18663.916611599994</v>
      </c>
      <c r="R93" s="169">
        <f t="shared" si="26"/>
        <v>22396.699933919994</v>
      </c>
      <c r="S93" s="170">
        <f t="shared" si="27"/>
        <v>26876.03992070399</v>
      </c>
      <c r="T93" s="168">
        <f t="shared" si="27"/>
        <v>32251.24790484479</v>
      </c>
      <c r="U93" s="168">
        <f t="shared" si="27"/>
        <v>38701.49748581374</v>
      </c>
      <c r="V93" s="168">
        <f t="shared" si="27"/>
        <v>46441.79698297649</v>
      </c>
      <c r="W93" s="169">
        <f t="shared" si="27"/>
        <v>55730.15637957179</v>
      </c>
      <c r="X93" s="142" t="s">
        <v>134</v>
      </c>
    </row>
    <row r="94" spans="1:26" ht="15" customHeight="1">
      <c r="A94" s="155" t="s">
        <v>90</v>
      </c>
      <c r="B94" s="209">
        <v>0.015</v>
      </c>
      <c r="C94" s="210">
        <v>0.015</v>
      </c>
      <c r="D94" s="209">
        <f t="shared" si="33"/>
        <v>0.015</v>
      </c>
      <c r="E94" s="210">
        <f t="shared" si="34"/>
        <v>0.015</v>
      </c>
      <c r="F94" s="159">
        <f t="shared" si="24"/>
        <v>2170.2086228449098</v>
      </c>
      <c r="G94" s="160">
        <f t="shared" si="24"/>
        <v>2202.761752187583</v>
      </c>
      <c r="H94" s="160">
        <f t="shared" si="24"/>
        <v>2235.8031784703967</v>
      </c>
      <c r="I94" s="193">
        <f t="shared" si="24"/>
        <v>2269.3402261474525</v>
      </c>
      <c r="J94" s="193">
        <f t="shared" si="24"/>
        <v>2303.380329539664</v>
      </c>
      <c r="K94" s="193">
        <f t="shared" si="24"/>
        <v>2337.931034482759</v>
      </c>
      <c r="L94" s="171">
        <v>2373</v>
      </c>
      <c r="M94" s="160">
        <f t="shared" si="25"/>
        <v>2408.595</v>
      </c>
      <c r="N94" s="160">
        <f t="shared" si="25"/>
        <v>2444.723925</v>
      </c>
      <c r="O94" s="168">
        <f t="shared" si="25"/>
        <v>2481.3947838749996</v>
      </c>
      <c r="P94" s="169">
        <f t="shared" si="25"/>
        <v>2518.6157056331244</v>
      </c>
      <c r="Q94" s="170">
        <f t="shared" si="26"/>
        <v>2556.394941217621</v>
      </c>
      <c r="R94" s="169">
        <f t="shared" si="26"/>
        <v>2594.7408653358852</v>
      </c>
      <c r="S94" s="170">
        <f t="shared" si="27"/>
        <v>2633.661978315923</v>
      </c>
      <c r="T94" s="168">
        <f t="shared" si="27"/>
        <v>2673.1669079906615</v>
      </c>
      <c r="U94" s="168">
        <f t="shared" si="27"/>
        <v>2713.264411610521</v>
      </c>
      <c r="V94" s="168">
        <f t="shared" si="27"/>
        <v>2753.963377784679</v>
      </c>
      <c r="W94" s="169">
        <f t="shared" si="27"/>
        <v>2795.2728284514487</v>
      </c>
      <c r="X94" s="142" t="s">
        <v>135</v>
      </c>
      <c r="Z94" s="419">
        <f>1700/1500</f>
        <v>1.1333333333333333</v>
      </c>
    </row>
    <row r="95" spans="1:24" ht="15" customHeight="1">
      <c r="A95" s="155" t="s">
        <v>92</v>
      </c>
      <c r="B95" s="209">
        <v>0.1</v>
      </c>
      <c r="C95" s="210">
        <v>0.1</v>
      </c>
      <c r="D95" s="209">
        <f t="shared" si="33"/>
        <v>0.1</v>
      </c>
      <c r="E95" s="210">
        <f t="shared" si="34"/>
        <v>0.1</v>
      </c>
      <c r="F95" s="159">
        <f t="shared" si="24"/>
        <v>310.4606615295774</v>
      </c>
      <c r="G95" s="160">
        <f t="shared" si="24"/>
        <v>341.5067276825352</v>
      </c>
      <c r="H95" s="160">
        <f t="shared" si="24"/>
        <v>375.65740045078877</v>
      </c>
      <c r="I95" s="160">
        <f t="shared" si="24"/>
        <v>413.22314049586765</v>
      </c>
      <c r="J95" s="160">
        <f t="shared" si="24"/>
        <v>454.54545454545445</v>
      </c>
      <c r="K95" s="160">
        <f t="shared" si="24"/>
        <v>499.99999999999994</v>
      </c>
      <c r="L95" s="171">
        <v>550</v>
      </c>
      <c r="M95" s="160">
        <f t="shared" si="25"/>
        <v>605</v>
      </c>
      <c r="N95" s="160">
        <f t="shared" si="25"/>
        <v>665.5</v>
      </c>
      <c r="O95" s="168">
        <f t="shared" si="25"/>
        <v>732.0500000000001</v>
      </c>
      <c r="P95" s="169">
        <f t="shared" si="25"/>
        <v>805.2550000000001</v>
      </c>
      <c r="Q95" s="170">
        <f t="shared" si="26"/>
        <v>885.7805000000002</v>
      </c>
      <c r="R95" s="169">
        <f t="shared" si="26"/>
        <v>974.3585500000003</v>
      </c>
      <c r="S95" s="170">
        <f t="shared" si="27"/>
        <v>1071.7944050000003</v>
      </c>
      <c r="T95" s="168">
        <f t="shared" si="27"/>
        <v>1178.9738455000004</v>
      </c>
      <c r="U95" s="168">
        <f t="shared" si="27"/>
        <v>1296.8712300500006</v>
      </c>
      <c r="V95" s="168">
        <f t="shared" si="27"/>
        <v>1426.5583530550007</v>
      </c>
      <c r="W95" s="169">
        <f t="shared" si="27"/>
        <v>1569.2141883605009</v>
      </c>
      <c r="X95" s="142" t="s">
        <v>136</v>
      </c>
    </row>
    <row r="96" spans="1:24" ht="15" customHeight="1">
      <c r="A96" s="155" t="s">
        <v>94</v>
      </c>
      <c r="B96" s="209">
        <v>0.04</v>
      </c>
      <c r="C96" s="210">
        <v>0.023</v>
      </c>
      <c r="D96" s="209">
        <f t="shared" si="33"/>
        <v>0.023</v>
      </c>
      <c r="E96" s="210">
        <f t="shared" si="34"/>
        <v>0.023</v>
      </c>
      <c r="F96" s="159">
        <f t="shared" si="24"/>
        <v>213.38492194713933</v>
      </c>
      <c r="G96" s="160">
        <f t="shared" si="24"/>
        <v>221.9203188250249</v>
      </c>
      <c r="H96" s="160">
        <f t="shared" si="24"/>
        <v>230.7971315780259</v>
      </c>
      <c r="I96" s="160">
        <f t="shared" si="24"/>
        <v>240.02901684114696</v>
      </c>
      <c r="J96" s="160">
        <f t="shared" si="24"/>
        <v>249.63017751479285</v>
      </c>
      <c r="K96" s="160">
        <f t="shared" si="24"/>
        <v>259.6153846153846</v>
      </c>
      <c r="L96" s="171">
        <v>270</v>
      </c>
      <c r="M96" s="160">
        <f t="shared" si="25"/>
        <v>276.21</v>
      </c>
      <c r="N96" s="160">
        <f t="shared" si="25"/>
        <v>282.56282999999996</v>
      </c>
      <c r="O96" s="168">
        <f t="shared" si="25"/>
        <v>289.0617750899999</v>
      </c>
      <c r="P96" s="169">
        <f t="shared" si="25"/>
        <v>295.7101959170699</v>
      </c>
      <c r="Q96" s="170">
        <f t="shared" si="26"/>
        <v>302.51153042316247</v>
      </c>
      <c r="R96" s="169">
        <f t="shared" si="26"/>
        <v>309.4692956228952</v>
      </c>
      <c r="S96" s="170">
        <f t="shared" si="27"/>
        <v>316.5870894222217</v>
      </c>
      <c r="T96" s="168">
        <f t="shared" si="27"/>
        <v>323.8685924789328</v>
      </c>
      <c r="U96" s="168">
        <f t="shared" si="27"/>
        <v>331.3175701059482</v>
      </c>
      <c r="V96" s="168">
        <f t="shared" si="27"/>
        <v>338.937874218385</v>
      </c>
      <c r="W96" s="169">
        <f t="shared" si="27"/>
        <v>346.73344532540784</v>
      </c>
      <c r="X96" s="142" t="s">
        <v>137</v>
      </c>
    </row>
    <row r="97" spans="1:24" ht="15" customHeight="1">
      <c r="A97" s="155" t="s">
        <v>96</v>
      </c>
      <c r="B97" s="209">
        <v>0.02</v>
      </c>
      <c r="C97" s="210">
        <v>0.02</v>
      </c>
      <c r="D97" s="209">
        <f t="shared" si="33"/>
        <v>0.02</v>
      </c>
      <c r="E97" s="210">
        <f t="shared" si="34"/>
        <v>0.02</v>
      </c>
      <c r="F97" s="159">
        <f t="shared" si="24"/>
        <v>317.00578344047057</v>
      </c>
      <c r="G97" s="160">
        <f t="shared" si="24"/>
        <v>323.34589910927997</v>
      </c>
      <c r="H97" s="160">
        <f t="shared" si="24"/>
        <v>329.81281709146555</v>
      </c>
      <c r="I97" s="160">
        <f t="shared" si="24"/>
        <v>336.40907343329485</v>
      </c>
      <c r="J97" s="160">
        <f t="shared" si="24"/>
        <v>343.1372549019608</v>
      </c>
      <c r="K97" s="160">
        <f t="shared" si="24"/>
        <v>350</v>
      </c>
      <c r="L97" s="171">
        <v>357</v>
      </c>
      <c r="M97" s="160">
        <f t="shared" si="25"/>
        <v>364.14</v>
      </c>
      <c r="N97" s="160">
        <f t="shared" si="25"/>
        <v>371.4228</v>
      </c>
      <c r="O97" s="168">
        <f t="shared" si="25"/>
        <v>378.851256</v>
      </c>
      <c r="P97" s="169">
        <f t="shared" si="25"/>
        <v>386.42828112</v>
      </c>
      <c r="Q97" s="170">
        <f t="shared" si="26"/>
        <v>394.15684674240003</v>
      </c>
      <c r="R97" s="169">
        <f t="shared" si="26"/>
        <v>402.039983677248</v>
      </c>
      <c r="S97" s="170">
        <f t="shared" si="27"/>
        <v>410.080783350793</v>
      </c>
      <c r="T97" s="168">
        <f t="shared" si="27"/>
        <v>418.28239901780887</v>
      </c>
      <c r="U97" s="168">
        <f t="shared" si="27"/>
        <v>426.64804699816506</v>
      </c>
      <c r="V97" s="168">
        <f t="shared" si="27"/>
        <v>435.18100793812835</v>
      </c>
      <c r="W97" s="169">
        <f t="shared" si="27"/>
        <v>443.88462809689094</v>
      </c>
      <c r="X97" s="142" t="s">
        <v>97</v>
      </c>
    </row>
    <row r="98" spans="1:24" ht="15" customHeight="1">
      <c r="A98" s="155" t="s">
        <v>5</v>
      </c>
      <c r="B98" s="209">
        <v>0.5</v>
      </c>
      <c r="C98" s="227">
        <v>0.4</v>
      </c>
      <c r="D98" s="423">
        <f>'Input - Hyp CAGR MetaMetaverse'!G7</f>
        <v>0.36</v>
      </c>
      <c r="E98" s="424">
        <f>'Input - Hyp CAGR MetaMetaverse'!H7</f>
        <v>0.36</v>
      </c>
      <c r="F98" s="159">
        <f t="shared" si="24"/>
        <v>5.530864197530864</v>
      </c>
      <c r="G98" s="160">
        <f t="shared" si="24"/>
        <v>8.296296296296296</v>
      </c>
      <c r="H98" s="160">
        <f t="shared" si="24"/>
        <v>12.444444444444445</v>
      </c>
      <c r="I98" s="160">
        <f t="shared" si="24"/>
        <v>18.666666666666668</v>
      </c>
      <c r="J98" s="160">
        <f t="shared" si="24"/>
        <v>28</v>
      </c>
      <c r="K98" s="160">
        <f t="shared" si="24"/>
        <v>42</v>
      </c>
      <c r="L98" s="190">
        <v>63</v>
      </c>
      <c r="M98" s="160">
        <f t="shared" si="25"/>
        <v>88.19999999999999</v>
      </c>
      <c r="N98" s="168">
        <f t="shared" si="25"/>
        <v>123.47999999999998</v>
      </c>
      <c r="O98" s="168">
        <f t="shared" si="25"/>
        <v>172.87199999999996</v>
      </c>
      <c r="P98" s="169">
        <f t="shared" si="25"/>
        <v>242.02079999999992</v>
      </c>
      <c r="Q98" s="170">
        <f t="shared" si="26"/>
        <v>329.14828799999987</v>
      </c>
      <c r="R98" s="169">
        <f t="shared" si="26"/>
        <v>447.6416716799998</v>
      </c>
      <c r="S98" s="170">
        <f t="shared" si="27"/>
        <v>608.7926734847996</v>
      </c>
      <c r="T98" s="168">
        <f t="shared" si="27"/>
        <v>827.9580359393274</v>
      </c>
      <c r="U98" s="168">
        <f t="shared" si="27"/>
        <v>1126.0229288774851</v>
      </c>
      <c r="V98" s="168">
        <f t="shared" si="27"/>
        <v>1531.3911832733797</v>
      </c>
      <c r="W98" s="169">
        <f t="shared" si="27"/>
        <v>2082.692009251796</v>
      </c>
      <c r="X98" s="142" t="s">
        <v>138</v>
      </c>
    </row>
    <row r="99" spans="1:24" ht="15" customHeight="1">
      <c r="A99" s="155" t="s">
        <v>33</v>
      </c>
      <c r="B99" s="209">
        <v>0.8</v>
      </c>
      <c r="C99" s="227">
        <v>0.5</v>
      </c>
      <c r="D99" s="228">
        <f>'Update Scenarios'!C11</f>
        <v>0.4</v>
      </c>
      <c r="E99" s="225">
        <f>'Update Scenarios'!D11</f>
        <v>0.2</v>
      </c>
      <c r="F99" s="159">
        <f t="shared" si="24"/>
        <v>6.115448375266492</v>
      </c>
      <c r="G99" s="160">
        <f t="shared" si="24"/>
        <v>11.007807075479686</v>
      </c>
      <c r="H99" s="160">
        <f t="shared" si="24"/>
        <v>19.814052735863434</v>
      </c>
      <c r="I99" s="160">
        <f t="shared" si="24"/>
        <v>35.66529492455418</v>
      </c>
      <c r="J99" s="160">
        <f t="shared" si="24"/>
        <v>64.19753086419753</v>
      </c>
      <c r="K99" s="160">
        <f t="shared" si="24"/>
        <v>115.55555555555556</v>
      </c>
      <c r="L99" s="171">
        <v>208</v>
      </c>
      <c r="M99" s="160">
        <f t="shared" si="25"/>
        <v>312</v>
      </c>
      <c r="N99" s="168">
        <f t="shared" si="25"/>
        <v>468</v>
      </c>
      <c r="O99" s="168">
        <f t="shared" si="25"/>
        <v>702</v>
      </c>
      <c r="P99" s="169">
        <f t="shared" si="25"/>
        <v>1053</v>
      </c>
      <c r="Q99" s="170">
        <f t="shared" si="26"/>
        <v>1474.1999999999998</v>
      </c>
      <c r="R99" s="169">
        <f t="shared" si="26"/>
        <v>2063.8799999999997</v>
      </c>
      <c r="S99" s="170">
        <f t="shared" si="27"/>
        <v>2476.6559999999995</v>
      </c>
      <c r="T99" s="168">
        <f t="shared" si="27"/>
        <v>2971.987199999999</v>
      </c>
      <c r="U99" s="168">
        <f t="shared" si="27"/>
        <v>3566.384639999999</v>
      </c>
      <c r="V99" s="168">
        <f t="shared" si="27"/>
        <v>4279.661567999999</v>
      </c>
      <c r="W99" s="169">
        <f t="shared" si="27"/>
        <v>5135.593881599998</v>
      </c>
      <c r="X99" s="142" t="s">
        <v>139</v>
      </c>
    </row>
    <row r="100" spans="1:24" ht="15" customHeight="1">
      <c r="A100" s="155" t="s">
        <v>101</v>
      </c>
      <c r="B100" s="209">
        <v>0.2</v>
      </c>
      <c r="C100" s="227">
        <v>0.15</v>
      </c>
      <c r="D100" s="209">
        <f t="shared" si="33"/>
        <v>0.15</v>
      </c>
      <c r="E100" s="210">
        <f t="shared" si="34"/>
        <v>0.15</v>
      </c>
      <c r="F100" s="159">
        <f t="shared" si="24"/>
        <v>21.433470507544587</v>
      </c>
      <c r="G100" s="160">
        <f t="shared" si="24"/>
        <v>25.720164609053505</v>
      </c>
      <c r="H100" s="160">
        <f t="shared" si="24"/>
        <v>30.864197530864207</v>
      </c>
      <c r="I100" s="160">
        <f t="shared" si="24"/>
        <v>37.037037037037045</v>
      </c>
      <c r="J100" s="160">
        <f t="shared" si="24"/>
        <v>44.44444444444445</v>
      </c>
      <c r="K100" s="160">
        <f t="shared" si="24"/>
        <v>53.333333333333336</v>
      </c>
      <c r="L100" s="171">
        <v>64</v>
      </c>
      <c r="M100" s="160">
        <f t="shared" si="25"/>
        <v>73.6</v>
      </c>
      <c r="N100" s="168">
        <f t="shared" si="25"/>
        <v>84.63999999999999</v>
      </c>
      <c r="O100" s="168">
        <f t="shared" si="25"/>
        <v>97.33599999999997</v>
      </c>
      <c r="P100" s="169">
        <f t="shared" si="25"/>
        <v>111.93639999999996</v>
      </c>
      <c r="Q100" s="170">
        <f t="shared" si="26"/>
        <v>128.72685999999996</v>
      </c>
      <c r="R100" s="169">
        <f t="shared" si="26"/>
        <v>148.03588899999994</v>
      </c>
      <c r="S100" s="170">
        <f t="shared" si="27"/>
        <v>170.24127234999992</v>
      </c>
      <c r="T100" s="168">
        <f t="shared" si="27"/>
        <v>195.7774632024999</v>
      </c>
      <c r="U100" s="168">
        <f t="shared" si="27"/>
        <v>225.14408268287485</v>
      </c>
      <c r="V100" s="168">
        <f t="shared" si="27"/>
        <v>258.9156950853061</v>
      </c>
      <c r="W100" s="169">
        <f t="shared" si="27"/>
        <v>297.75304934810197</v>
      </c>
      <c r="X100" s="142" t="s">
        <v>140</v>
      </c>
    </row>
    <row r="101" spans="1:24" ht="15" customHeight="1">
      <c r="A101" s="155" t="s">
        <v>16</v>
      </c>
      <c r="B101" s="209">
        <v>0.1</v>
      </c>
      <c r="C101" s="227">
        <v>0.2</v>
      </c>
      <c r="D101" s="423">
        <f>'Input - Hyp CAGR MetaMetaverse'!G23</f>
        <v>0.25</v>
      </c>
      <c r="E101" s="424">
        <f>'Input - Hyp CAGR MetaMetaverse'!H23</f>
        <v>0.3</v>
      </c>
      <c r="F101" s="159">
        <f t="shared" si="24"/>
        <v>406.4212296387196</v>
      </c>
      <c r="G101" s="160">
        <f t="shared" si="24"/>
        <v>447.0633526025916</v>
      </c>
      <c r="H101" s="160">
        <f t="shared" si="24"/>
        <v>491.7696878628508</v>
      </c>
      <c r="I101" s="160">
        <f t="shared" si="24"/>
        <v>540.9466566491359</v>
      </c>
      <c r="J101" s="160">
        <f t="shared" si="24"/>
        <v>595.0413223140495</v>
      </c>
      <c r="K101" s="160">
        <f t="shared" si="24"/>
        <v>654.5454545454545</v>
      </c>
      <c r="L101" s="171">
        <v>720</v>
      </c>
      <c r="M101" s="160">
        <f aca="true" t="shared" si="37" ref="M101:P101">L101*(1+$C101)</f>
        <v>864</v>
      </c>
      <c r="N101" s="168">
        <f t="shared" si="37"/>
        <v>1036.8</v>
      </c>
      <c r="O101" s="168">
        <f t="shared" si="37"/>
        <v>1244.1599999999999</v>
      </c>
      <c r="P101" s="169">
        <f t="shared" si="37"/>
        <v>1492.9919999999997</v>
      </c>
      <c r="Q101" s="170">
        <f t="shared" si="26"/>
        <v>1866.2399999999998</v>
      </c>
      <c r="R101" s="169">
        <f t="shared" si="26"/>
        <v>2332.7999999999997</v>
      </c>
      <c r="S101" s="170">
        <f t="shared" si="27"/>
        <v>3032.64</v>
      </c>
      <c r="T101" s="168">
        <f t="shared" si="27"/>
        <v>3942.432</v>
      </c>
      <c r="U101" s="168">
        <f t="shared" si="27"/>
        <v>5125.161599999999</v>
      </c>
      <c r="V101" s="168">
        <f t="shared" si="27"/>
        <v>6662.71008</v>
      </c>
      <c r="W101" s="169">
        <f t="shared" si="27"/>
        <v>8661.523104</v>
      </c>
      <c r="X101" s="142" t="s">
        <v>141</v>
      </c>
    </row>
    <row r="102" spans="1:23" ht="15" customHeight="1">
      <c r="A102" s="197" t="s">
        <v>104</v>
      </c>
      <c r="B102" s="229"/>
      <c r="C102" s="230"/>
      <c r="D102" s="229"/>
      <c r="E102" s="230"/>
      <c r="F102" s="201">
        <f>SUM(F85:F101)</f>
        <v>17931.924268376297</v>
      </c>
      <c r="G102" s="202">
        <f aca="true" t="shared" si="38" ref="G102:W102">SUM(G85:G101)</f>
        <v>18041.81819173267</v>
      </c>
      <c r="H102" s="202">
        <f t="shared" si="38"/>
        <v>18463.276519207917</v>
      </c>
      <c r="I102" s="202">
        <f t="shared" si="38"/>
        <v>19218.4538604797</v>
      </c>
      <c r="J102" s="202">
        <f t="shared" si="38"/>
        <v>20344.133701100796</v>
      </c>
      <c r="K102" s="202">
        <f t="shared" si="38"/>
        <v>21895.633454080507</v>
      </c>
      <c r="L102" s="231">
        <f t="shared" si="38"/>
        <v>23953</v>
      </c>
      <c r="M102" s="202">
        <f t="shared" si="38"/>
        <v>25946.545</v>
      </c>
      <c r="N102" s="203">
        <f t="shared" si="38"/>
        <v>28322.925154999994</v>
      </c>
      <c r="O102" s="203">
        <f t="shared" si="38"/>
        <v>31159.859090964997</v>
      </c>
      <c r="P102" s="206">
        <f t="shared" si="38"/>
        <v>34558.13686535019</v>
      </c>
      <c r="Q102" s="205">
        <f t="shared" si="38"/>
        <v>39076.44921514318</v>
      </c>
      <c r="R102" s="206">
        <f t="shared" si="38"/>
        <v>44569.0139283414</v>
      </c>
      <c r="S102" s="205">
        <f t="shared" si="38"/>
        <v>50840.05102831342</v>
      </c>
      <c r="T102" s="203">
        <f t="shared" si="38"/>
        <v>58406.83702470138</v>
      </c>
      <c r="U102" s="203">
        <f t="shared" si="38"/>
        <v>67551.11452477847</v>
      </c>
      <c r="V102" s="203">
        <f t="shared" si="38"/>
        <v>78620.54095806704</v>
      </c>
      <c r="W102" s="206">
        <f t="shared" si="38"/>
        <v>92044.91342957324</v>
      </c>
    </row>
    <row r="103" spans="1:23" ht="15" customHeight="1">
      <c r="A103" s="236"/>
      <c r="B103" s="237"/>
      <c r="C103" s="237"/>
      <c r="D103" s="237"/>
      <c r="E103" s="237"/>
      <c r="F103" s="238"/>
      <c r="G103" s="238"/>
      <c r="H103" s="238"/>
      <c r="I103" s="238"/>
      <c r="J103" s="238"/>
      <c r="K103" s="238"/>
      <c r="L103" s="239"/>
      <c r="M103" s="238"/>
      <c r="N103" s="240"/>
      <c r="O103" s="240"/>
      <c r="P103" s="240"/>
      <c r="Q103" s="240"/>
      <c r="R103" s="240"/>
      <c r="S103" s="240"/>
      <c r="T103" s="240"/>
      <c r="U103" s="240"/>
      <c r="V103" s="240"/>
      <c r="W103" s="240"/>
    </row>
    <row r="104" spans="1:23" ht="30" customHeight="1">
      <c r="A104" s="232" t="s">
        <v>142</v>
      </c>
      <c r="B104" s="153" t="s">
        <v>354</v>
      </c>
      <c r="C104" s="154" t="s">
        <v>71</v>
      </c>
      <c r="D104" s="153" t="s">
        <v>72</v>
      </c>
      <c r="E104" s="154" t="s">
        <v>73</v>
      </c>
      <c r="F104" s="153">
        <v>2013</v>
      </c>
      <c r="G104" s="152">
        <v>2014</v>
      </c>
      <c r="H104" s="152">
        <v>2015</v>
      </c>
      <c r="I104" s="152">
        <v>2016</v>
      </c>
      <c r="J104" s="152">
        <v>2017</v>
      </c>
      <c r="K104" s="152">
        <v>2018</v>
      </c>
      <c r="L104" s="152">
        <v>2019</v>
      </c>
      <c r="M104" s="152">
        <v>2020</v>
      </c>
      <c r="N104" s="152">
        <v>2021</v>
      </c>
      <c r="O104" s="152">
        <v>2022</v>
      </c>
      <c r="P104" s="154">
        <v>2023</v>
      </c>
      <c r="Q104" s="153">
        <v>2024</v>
      </c>
      <c r="R104" s="154">
        <v>2025</v>
      </c>
      <c r="S104" s="153">
        <v>2026</v>
      </c>
      <c r="T104" s="152">
        <v>2027</v>
      </c>
      <c r="U104" s="152">
        <v>2028</v>
      </c>
      <c r="V104" s="152">
        <v>2029</v>
      </c>
      <c r="W104" s="154">
        <v>2030</v>
      </c>
    </row>
    <row r="105" spans="1:24" ht="22.75" customHeight="1">
      <c r="A105" s="155" t="s">
        <v>74</v>
      </c>
      <c r="B105" s="209">
        <v>0</v>
      </c>
      <c r="C105" s="210">
        <v>0</v>
      </c>
      <c r="D105" s="209">
        <f aca="true" t="shared" si="39" ref="D105:D120">C105</f>
        <v>0</v>
      </c>
      <c r="E105" s="210">
        <f aca="true" t="shared" si="40" ref="E105:E120">C105</f>
        <v>0</v>
      </c>
      <c r="F105" s="159">
        <f aca="true" t="shared" si="41" ref="F105:K121">G105/(1+$B105)</f>
        <v>130</v>
      </c>
      <c r="G105" s="160">
        <f t="shared" si="41"/>
        <v>130</v>
      </c>
      <c r="H105" s="160">
        <f t="shared" si="41"/>
        <v>130</v>
      </c>
      <c r="I105" s="160">
        <f t="shared" si="41"/>
        <v>130</v>
      </c>
      <c r="J105" s="160">
        <f t="shared" si="41"/>
        <v>130</v>
      </c>
      <c r="K105" s="160">
        <f t="shared" si="41"/>
        <v>130</v>
      </c>
      <c r="L105" s="171">
        <v>130</v>
      </c>
      <c r="M105" s="160">
        <f aca="true" t="shared" si="42" ref="M105:P130">(1+$C105)*L105</f>
        <v>130</v>
      </c>
      <c r="N105" s="160">
        <f t="shared" si="42"/>
        <v>130</v>
      </c>
      <c r="O105" s="168">
        <f t="shared" si="42"/>
        <v>130</v>
      </c>
      <c r="P105" s="169">
        <f t="shared" si="42"/>
        <v>130</v>
      </c>
      <c r="Q105" s="170">
        <f aca="true" t="shared" si="43" ref="Q105:R130">(1+$D105)*P105</f>
        <v>130</v>
      </c>
      <c r="R105" s="169">
        <f>(1+$D105)*Q105</f>
        <v>130</v>
      </c>
      <c r="S105" s="170">
        <f aca="true" t="shared" si="44" ref="S105:W130">(1+$E105)*R105</f>
        <v>130</v>
      </c>
      <c r="T105" s="168">
        <f aca="true" t="shared" si="45" ref="T105:W105">(1+$E105)*S105</f>
        <v>130</v>
      </c>
      <c r="U105" s="168">
        <f t="shared" si="45"/>
        <v>130</v>
      </c>
      <c r="V105" s="168">
        <f t="shared" si="45"/>
        <v>130</v>
      </c>
      <c r="W105" s="169">
        <f t="shared" si="45"/>
        <v>130</v>
      </c>
      <c r="X105" s="142" t="s">
        <v>109</v>
      </c>
    </row>
    <row r="106" spans="1:24" ht="15" customHeight="1">
      <c r="A106" s="155" t="s">
        <v>76</v>
      </c>
      <c r="B106" s="209">
        <v>0.03</v>
      </c>
      <c r="C106" s="210">
        <v>0.03</v>
      </c>
      <c r="D106" s="209">
        <f t="shared" si="39"/>
        <v>0.03</v>
      </c>
      <c r="E106" s="210">
        <f t="shared" si="40"/>
        <v>0.03</v>
      </c>
      <c r="F106" s="159">
        <f t="shared" si="41"/>
        <v>50.24905540101925</v>
      </c>
      <c r="G106" s="160">
        <f t="shared" si="41"/>
        <v>51.75652706304983</v>
      </c>
      <c r="H106" s="160">
        <f t="shared" si="41"/>
        <v>53.30922287494133</v>
      </c>
      <c r="I106" s="160">
        <f t="shared" si="41"/>
        <v>54.908499561189565</v>
      </c>
      <c r="J106" s="160">
        <f t="shared" si="41"/>
        <v>56.555754548025256</v>
      </c>
      <c r="K106" s="160">
        <f t="shared" si="41"/>
        <v>58.252427184466015</v>
      </c>
      <c r="L106" s="190">
        <v>60</v>
      </c>
      <c r="M106" s="160">
        <v>70</v>
      </c>
      <c r="N106" s="160">
        <v>70</v>
      </c>
      <c r="O106" s="168">
        <f>(1+$C106)*N106</f>
        <v>72.10000000000001</v>
      </c>
      <c r="P106" s="169">
        <f t="shared" si="42"/>
        <v>74.263</v>
      </c>
      <c r="Q106" s="170">
        <f t="shared" si="43"/>
        <v>76.49089000000001</v>
      </c>
      <c r="R106" s="169">
        <f t="shared" si="43"/>
        <v>78.7856167</v>
      </c>
      <c r="S106" s="170">
        <f t="shared" si="44"/>
        <v>81.14918520100001</v>
      </c>
      <c r="T106" s="168">
        <f t="shared" si="44"/>
        <v>83.58366075703002</v>
      </c>
      <c r="U106" s="168">
        <f t="shared" si="44"/>
        <v>86.09117057974092</v>
      </c>
      <c r="V106" s="168">
        <f t="shared" si="44"/>
        <v>88.67390569713315</v>
      </c>
      <c r="W106" s="169">
        <f t="shared" si="44"/>
        <v>91.33412286804715</v>
      </c>
      <c r="X106" s="142" t="s">
        <v>109</v>
      </c>
    </row>
    <row r="107" spans="1:24" ht="15" customHeight="1">
      <c r="A107" s="155" t="s">
        <v>78</v>
      </c>
      <c r="B107" s="209">
        <v>0</v>
      </c>
      <c r="C107" s="210">
        <v>0</v>
      </c>
      <c r="D107" s="209">
        <f t="shared" si="39"/>
        <v>0</v>
      </c>
      <c r="E107" s="210">
        <f t="shared" si="40"/>
        <v>0</v>
      </c>
      <c r="F107" s="159">
        <f t="shared" si="41"/>
        <v>56</v>
      </c>
      <c r="G107" s="160">
        <f t="shared" si="41"/>
        <v>56</v>
      </c>
      <c r="H107" s="160">
        <f t="shared" si="41"/>
        <v>56</v>
      </c>
      <c r="I107" s="160">
        <f t="shared" si="41"/>
        <v>56</v>
      </c>
      <c r="J107" s="160">
        <f t="shared" si="41"/>
        <v>56</v>
      </c>
      <c r="K107" s="160">
        <f t="shared" si="41"/>
        <v>56</v>
      </c>
      <c r="L107" s="171">
        <v>56</v>
      </c>
      <c r="M107" s="160">
        <f t="shared" si="42"/>
        <v>56</v>
      </c>
      <c r="N107" s="160">
        <f t="shared" si="42"/>
        <v>56</v>
      </c>
      <c r="O107" s="168">
        <f t="shared" si="42"/>
        <v>56</v>
      </c>
      <c r="P107" s="169">
        <f t="shared" si="42"/>
        <v>56</v>
      </c>
      <c r="Q107" s="170">
        <f t="shared" si="43"/>
        <v>56</v>
      </c>
      <c r="R107" s="169">
        <f t="shared" si="43"/>
        <v>56</v>
      </c>
      <c r="S107" s="170">
        <f t="shared" si="44"/>
        <v>56</v>
      </c>
      <c r="T107" s="168">
        <f t="shared" si="44"/>
        <v>56</v>
      </c>
      <c r="U107" s="168">
        <f t="shared" si="44"/>
        <v>56</v>
      </c>
      <c r="V107" s="168">
        <f t="shared" si="44"/>
        <v>56</v>
      </c>
      <c r="W107" s="169">
        <f t="shared" si="44"/>
        <v>56</v>
      </c>
      <c r="X107" s="142" t="s">
        <v>143</v>
      </c>
    </row>
    <row r="108" spans="1:24" ht="15" customHeight="1">
      <c r="A108" s="155" t="s">
        <v>79</v>
      </c>
      <c r="B108" s="209">
        <v>0</v>
      </c>
      <c r="C108" s="210">
        <v>0</v>
      </c>
      <c r="D108" s="209">
        <f t="shared" si="39"/>
        <v>0</v>
      </c>
      <c r="E108" s="210">
        <f t="shared" si="40"/>
        <v>0</v>
      </c>
      <c r="F108" s="159">
        <f t="shared" si="41"/>
        <v>55</v>
      </c>
      <c r="G108" s="160">
        <f t="shared" si="41"/>
        <v>55</v>
      </c>
      <c r="H108" s="160">
        <f t="shared" si="41"/>
        <v>55</v>
      </c>
      <c r="I108" s="160">
        <f t="shared" si="41"/>
        <v>55</v>
      </c>
      <c r="J108" s="160">
        <f t="shared" si="41"/>
        <v>55</v>
      </c>
      <c r="K108" s="160">
        <f t="shared" si="41"/>
        <v>55</v>
      </c>
      <c r="L108" s="171">
        <v>55</v>
      </c>
      <c r="M108" s="160">
        <f t="shared" si="42"/>
        <v>55</v>
      </c>
      <c r="N108" s="160">
        <f t="shared" si="42"/>
        <v>55</v>
      </c>
      <c r="O108" s="168">
        <f t="shared" si="42"/>
        <v>55</v>
      </c>
      <c r="P108" s="169">
        <f t="shared" si="42"/>
        <v>55</v>
      </c>
      <c r="Q108" s="170">
        <f t="shared" si="43"/>
        <v>55</v>
      </c>
      <c r="R108" s="169">
        <f t="shared" si="43"/>
        <v>55</v>
      </c>
      <c r="S108" s="170">
        <f t="shared" si="44"/>
        <v>55</v>
      </c>
      <c r="T108" s="168">
        <f t="shared" si="44"/>
        <v>55</v>
      </c>
      <c r="U108" s="168">
        <f t="shared" si="44"/>
        <v>55</v>
      </c>
      <c r="V108" s="168">
        <f t="shared" si="44"/>
        <v>55</v>
      </c>
      <c r="W108" s="169">
        <f t="shared" si="44"/>
        <v>55</v>
      </c>
      <c r="X108" s="142" t="s">
        <v>144</v>
      </c>
    </row>
    <row r="109" spans="1:24" ht="15" customHeight="1">
      <c r="A109" s="155" t="s">
        <v>81</v>
      </c>
      <c r="B109" s="209">
        <v>-0.03</v>
      </c>
      <c r="C109" s="210">
        <v>-0.03</v>
      </c>
      <c r="D109" s="209">
        <f t="shared" si="39"/>
        <v>-0.03</v>
      </c>
      <c r="E109" s="210">
        <f t="shared" si="40"/>
        <v>-0.03</v>
      </c>
      <c r="F109" s="159">
        <f t="shared" si="41"/>
        <v>168.07287540465802</v>
      </c>
      <c r="G109" s="160">
        <f t="shared" si="41"/>
        <v>163.03068914251827</v>
      </c>
      <c r="H109" s="168">
        <f t="shared" si="41"/>
        <v>158.13976846824272</v>
      </c>
      <c r="I109" s="168">
        <f t="shared" si="41"/>
        <v>153.39557541419543</v>
      </c>
      <c r="J109" s="160">
        <f t="shared" si="41"/>
        <v>148.79370815176958</v>
      </c>
      <c r="K109" s="160">
        <f t="shared" si="41"/>
        <v>144.3298969072165</v>
      </c>
      <c r="L109" s="171">
        <v>140</v>
      </c>
      <c r="M109" s="160">
        <f t="shared" si="42"/>
        <v>135.79999999999998</v>
      </c>
      <c r="N109" s="160">
        <f t="shared" si="42"/>
        <v>131.72599999999997</v>
      </c>
      <c r="O109" s="168">
        <f t="shared" si="42"/>
        <v>127.77421999999997</v>
      </c>
      <c r="P109" s="169">
        <f t="shared" si="42"/>
        <v>123.94099339999997</v>
      </c>
      <c r="Q109" s="170">
        <f t="shared" si="43"/>
        <v>120.22276359799997</v>
      </c>
      <c r="R109" s="169">
        <f t="shared" si="43"/>
        <v>116.61608069005997</v>
      </c>
      <c r="S109" s="170">
        <f t="shared" si="44"/>
        <v>113.11759826935817</v>
      </c>
      <c r="T109" s="168">
        <f t="shared" si="44"/>
        <v>109.72407032127742</v>
      </c>
      <c r="U109" s="168">
        <f t="shared" si="44"/>
        <v>106.4323482116391</v>
      </c>
      <c r="V109" s="168">
        <f t="shared" si="44"/>
        <v>103.23937776528992</v>
      </c>
      <c r="W109" s="169">
        <f t="shared" si="44"/>
        <v>100.14219643233122</v>
      </c>
      <c r="X109" s="142" t="s">
        <v>145</v>
      </c>
    </row>
    <row r="110" spans="1:24" ht="15" customHeight="1">
      <c r="A110" s="155" t="s">
        <v>30</v>
      </c>
      <c r="B110" s="209">
        <v>0.1</v>
      </c>
      <c r="C110" s="210">
        <v>0.07</v>
      </c>
      <c r="D110" s="209">
        <f t="shared" si="39"/>
        <v>0.07</v>
      </c>
      <c r="E110" s="210">
        <f t="shared" si="40"/>
        <v>0.07</v>
      </c>
      <c r="F110" s="159">
        <f t="shared" si="41"/>
        <v>2.822369650268886</v>
      </c>
      <c r="G110" s="160">
        <f t="shared" si="41"/>
        <v>3.1046066152957748</v>
      </c>
      <c r="H110" s="160">
        <f t="shared" si="41"/>
        <v>3.4150672768253525</v>
      </c>
      <c r="I110" s="160">
        <f t="shared" si="41"/>
        <v>3.756574004507888</v>
      </c>
      <c r="J110" s="160">
        <f t="shared" si="41"/>
        <v>4.132231404958677</v>
      </c>
      <c r="K110" s="160">
        <f t="shared" si="41"/>
        <v>4.545454545454545</v>
      </c>
      <c r="L110" s="190">
        <v>5</v>
      </c>
      <c r="M110" s="160">
        <f t="shared" si="42"/>
        <v>5.3500000000000005</v>
      </c>
      <c r="N110" s="160">
        <f t="shared" si="42"/>
        <v>5.724500000000001</v>
      </c>
      <c r="O110" s="168">
        <f t="shared" si="42"/>
        <v>6.125215000000002</v>
      </c>
      <c r="P110" s="169">
        <f t="shared" si="42"/>
        <v>6.5539800500000025</v>
      </c>
      <c r="Q110" s="170">
        <f t="shared" si="43"/>
        <v>7.012758653500003</v>
      </c>
      <c r="R110" s="169">
        <f t="shared" si="43"/>
        <v>7.503651759245004</v>
      </c>
      <c r="S110" s="170">
        <f t="shared" si="44"/>
        <v>8.028907382392156</v>
      </c>
      <c r="T110" s="168">
        <f t="shared" si="44"/>
        <v>8.590930899159607</v>
      </c>
      <c r="U110" s="168">
        <f t="shared" si="44"/>
        <v>9.19229606210078</v>
      </c>
      <c r="V110" s="168">
        <f t="shared" si="44"/>
        <v>9.835756786447835</v>
      </c>
      <c r="W110" s="169">
        <f t="shared" si="44"/>
        <v>10.524259761499184</v>
      </c>
      <c r="X110" s="142" t="s">
        <v>146</v>
      </c>
    </row>
    <row r="111" spans="1:24" ht="15" customHeight="1">
      <c r="A111" s="155" t="s">
        <v>84</v>
      </c>
      <c r="B111" s="209">
        <v>0</v>
      </c>
      <c r="C111" s="210">
        <v>0</v>
      </c>
      <c r="D111" s="209">
        <f t="shared" si="39"/>
        <v>0</v>
      </c>
      <c r="E111" s="210">
        <f t="shared" si="40"/>
        <v>0</v>
      </c>
      <c r="F111" s="159">
        <f t="shared" si="41"/>
        <v>12</v>
      </c>
      <c r="G111" s="160">
        <f t="shared" si="41"/>
        <v>12</v>
      </c>
      <c r="H111" s="160">
        <f t="shared" si="41"/>
        <v>12</v>
      </c>
      <c r="I111" s="160">
        <f t="shared" si="41"/>
        <v>12</v>
      </c>
      <c r="J111" s="160">
        <f t="shared" si="41"/>
        <v>12</v>
      </c>
      <c r="K111" s="160">
        <f t="shared" si="41"/>
        <v>12</v>
      </c>
      <c r="L111" s="190">
        <v>12</v>
      </c>
      <c r="M111" s="160">
        <f t="shared" si="42"/>
        <v>12</v>
      </c>
      <c r="N111" s="160">
        <f t="shared" si="42"/>
        <v>12</v>
      </c>
      <c r="O111" s="168">
        <f t="shared" si="42"/>
        <v>12</v>
      </c>
      <c r="P111" s="169">
        <f t="shared" si="42"/>
        <v>12</v>
      </c>
      <c r="Q111" s="170">
        <f t="shared" si="43"/>
        <v>12</v>
      </c>
      <c r="R111" s="169">
        <f t="shared" si="43"/>
        <v>12</v>
      </c>
      <c r="S111" s="170">
        <f t="shared" si="44"/>
        <v>12</v>
      </c>
      <c r="T111" s="168">
        <f t="shared" si="44"/>
        <v>12</v>
      </c>
      <c r="U111" s="168">
        <f t="shared" si="44"/>
        <v>12</v>
      </c>
      <c r="V111" s="168">
        <f t="shared" si="44"/>
        <v>12</v>
      </c>
      <c r="W111" s="169">
        <f t="shared" si="44"/>
        <v>12</v>
      </c>
      <c r="X111" s="142" t="s">
        <v>147</v>
      </c>
    </row>
    <row r="112" spans="1:24" ht="15" customHeight="1">
      <c r="A112" s="155" t="s">
        <v>86</v>
      </c>
      <c r="B112" s="209">
        <v>0</v>
      </c>
      <c r="C112" s="210">
        <v>0</v>
      </c>
      <c r="D112" s="209">
        <f t="shared" si="39"/>
        <v>0</v>
      </c>
      <c r="E112" s="210">
        <f t="shared" si="40"/>
        <v>0</v>
      </c>
      <c r="F112" s="159">
        <f t="shared" si="41"/>
        <v>1</v>
      </c>
      <c r="G112" s="160">
        <f t="shared" si="41"/>
        <v>1</v>
      </c>
      <c r="H112" s="160">
        <f t="shared" si="41"/>
        <v>1</v>
      </c>
      <c r="I112" s="160">
        <f t="shared" si="41"/>
        <v>1</v>
      </c>
      <c r="J112" s="160">
        <f t="shared" si="41"/>
        <v>1</v>
      </c>
      <c r="K112" s="160">
        <f t="shared" si="41"/>
        <v>1</v>
      </c>
      <c r="L112" s="171">
        <v>1</v>
      </c>
      <c r="M112" s="160">
        <f t="shared" si="42"/>
        <v>1</v>
      </c>
      <c r="N112" s="160">
        <f t="shared" si="42"/>
        <v>1</v>
      </c>
      <c r="O112" s="168">
        <f t="shared" si="42"/>
        <v>1</v>
      </c>
      <c r="P112" s="169">
        <f t="shared" si="42"/>
        <v>1</v>
      </c>
      <c r="Q112" s="170">
        <f t="shared" si="43"/>
        <v>1</v>
      </c>
      <c r="R112" s="169">
        <f t="shared" si="43"/>
        <v>1</v>
      </c>
      <c r="S112" s="170">
        <f t="shared" si="44"/>
        <v>1</v>
      </c>
      <c r="T112" s="168">
        <f t="shared" si="44"/>
        <v>1</v>
      </c>
      <c r="U112" s="168">
        <f t="shared" si="44"/>
        <v>1</v>
      </c>
      <c r="V112" s="168">
        <f t="shared" si="44"/>
        <v>1</v>
      </c>
      <c r="W112" s="169">
        <f t="shared" si="44"/>
        <v>1</v>
      </c>
      <c r="X112" s="142" t="s">
        <v>148</v>
      </c>
    </row>
    <row r="113" spans="1:23" ht="15" customHeight="1">
      <c r="A113" s="212" t="s">
        <v>88</v>
      </c>
      <c r="B113" s="209">
        <v>0</v>
      </c>
      <c r="C113" s="210">
        <v>-0.05</v>
      </c>
      <c r="D113" s="423">
        <f>'Input - Hyp CAGR MetaMetaverse'!G16</f>
        <v>-0.02</v>
      </c>
      <c r="E113" s="424">
        <f>'Input - Hyp CAGR MetaMetaverse'!H16</f>
        <v>-0.02</v>
      </c>
      <c r="F113" s="159">
        <f t="shared" si="41"/>
        <v>8.76</v>
      </c>
      <c r="G113" s="160">
        <f t="shared" si="41"/>
        <v>8.76</v>
      </c>
      <c r="H113" s="168">
        <f t="shared" si="41"/>
        <v>8.76</v>
      </c>
      <c r="I113" s="168">
        <f t="shared" si="41"/>
        <v>8.76</v>
      </c>
      <c r="J113" s="168">
        <f t="shared" si="41"/>
        <v>8.76</v>
      </c>
      <c r="K113" s="168">
        <f t="shared" si="41"/>
        <v>8.76</v>
      </c>
      <c r="L113" s="171">
        <f>1*24*365/1000</f>
        <v>8.76</v>
      </c>
      <c r="M113" s="168">
        <f t="shared" si="42"/>
        <v>8.322</v>
      </c>
      <c r="N113" s="160">
        <f t="shared" si="42"/>
        <v>7.905899999999999</v>
      </c>
      <c r="O113" s="168">
        <f t="shared" si="42"/>
        <v>7.510604999999999</v>
      </c>
      <c r="P113" s="169">
        <f t="shared" si="42"/>
        <v>7.1350747499999985</v>
      </c>
      <c r="Q113" s="170">
        <f t="shared" si="43"/>
        <v>6.992373254999999</v>
      </c>
      <c r="R113" s="169">
        <f t="shared" si="43"/>
        <v>6.852525789899999</v>
      </c>
      <c r="S113" s="170">
        <f t="shared" si="44"/>
        <v>6.7154752741019985</v>
      </c>
      <c r="T113" s="168">
        <f t="shared" si="44"/>
        <v>6.581165768619958</v>
      </c>
      <c r="U113" s="168">
        <f t="shared" si="44"/>
        <v>6.449542453247559</v>
      </c>
      <c r="V113" s="168">
        <f t="shared" si="44"/>
        <v>6.320551604182607</v>
      </c>
      <c r="W113" s="169">
        <f t="shared" si="44"/>
        <v>6.194140572098955</v>
      </c>
    </row>
    <row r="114" spans="1:24" ht="15" customHeight="1">
      <c r="A114" s="155" t="s">
        <v>90</v>
      </c>
      <c r="B114" s="209">
        <v>-0.02</v>
      </c>
      <c r="C114" s="210">
        <v>0.03</v>
      </c>
      <c r="D114" s="209">
        <f t="shared" si="39"/>
        <v>0.03</v>
      </c>
      <c r="E114" s="210">
        <f t="shared" si="40"/>
        <v>0.03</v>
      </c>
      <c r="F114" s="159">
        <f t="shared" si="41"/>
        <v>242.70683435838927</v>
      </c>
      <c r="G114" s="160">
        <f t="shared" si="41"/>
        <v>237.85269767122148</v>
      </c>
      <c r="H114" s="160">
        <f t="shared" si="41"/>
        <v>233.09564371779703</v>
      </c>
      <c r="I114" s="193">
        <f t="shared" si="41"/>
        <v>228.43373084344108</v>
      </c>
      <c r="J114" s="193">
        <f t="shared" si="41"/>
        <v>223.86505622657225</v>
      </c>
      <c r="K114" s="193">
        <f>L114/(1+$B114)</f>
        <v>219.3877551020408</v>
      </c>
      <c r="L114" s="190">
        <v>215</v>
      </c>
      <c r="M114" s="160">
        <f t="shared" si="42"/>
        <v>221.45000000000002</v>
      </c>
      <c r="N114" s="160">
        <f t="shared" si="42"/>
        <v>228.09350000000003</v>
      </c>
      <c r="O114" s="168">
        <f>(1+$C114)*N114</f>
        <v>234.93630500000003</v>
      </c>
      <c r="P114" s="169">
        <f t="shared" si="42"/>
        <v>241.98439415000004</v>
      </c>
      <c r="Q114" s="170">
        <f t="shared" si="43"/>
        <v>249.24392597450006</v>
      </c>
      <c r="R114" s="169">
        <f t="shared" si="43"/>
        <v>256.72124375373505</v>
      </c>
      <c r="S114" s="170">
        <f t="shared" si="44"/>
        <v>264.4228810663471</v>
      </c>
      <c r="T114" s="168">
        <f t="shared" si="44"/>
        <v>272.3555674983375</v>
      </c>
      <c r="U114" s="168">
        <f t="shared" si="44"/>
        <v>280.52623452328766</v>
      </c>
      <c r="V114" s="168">
        <f t="shared" si="44"/>
        <v>288.9420215589863</v>
      </c>
      <c r="W114" s="169">
        <f t="shared" si="44"/>
        <v>297.61028220575594</v>
      </c>
      <c r="X114" s="142" t="s">
        <v>149</v>
      </c>
    </row>
    <row r="115" spans="1:24" ht="15" customHeight="1">
      <c r="A115" s="155" t="s">
        <v>92</v>
      </c>
      <c r="B115" s="209">
        <v>0</v>
      </c>
      <c r="C115" s="210">
        <v>0</v>
      </c>
      <c r="D115" s="209">
        <f t="shared" si="39"/>
        <v>0</v>
      </c>
      <c r="E115" s="210">
        <f t="shared" si="40"/>
        <v>0</v>
      </c>
      <c r="F115" s="159">
        <f t="shared" si="41"/>
        <v>40</v>
      </c>
      <c r="G115" s="160">
        <f t="shared" si="41"/>
        <v>40</v>
      </c>
      <c r="H115" s="160">
        <f t="shared" si="41"/>
        <v>40</v>
      </c>
      <c r="I115" s="160">
        <f t="shared" si="41"/>
        <v>40</v>
      </c>
      <c r="J115" s="160">
        <f t="shared" si="41"/>
        <v>40</v>
      </c>
      <c r="K115" s="160">
        <f t="shared" si="41"/>
        <v>40</v>
      </c>
      <c r="L115" s="171">
        <v>40</v>
      </c>
      <c r="M115" s="160">
        <f t="shared" si="42"/>
        <v>40</v>
      </c>
      <c r="N115" s="160">
        <f t="shared" si="42"/>
        <v>40</v>
      </c>
      <c r="O115" s="168">
        <f t="shared" si="42"/>
        <v>40</v>
      </c>
      <c r="P115" s="169">
        <f t="shared" si="42"/>
        <v>40</v>
      </c>
      <c r="Q115" s="170">
        <f t="shared" si="43"/>
        <v>40</v>
      </c>
      <c r="R115" s="169">
        <f t="shared" si="43"/>
        <v>40</v>
      </c>
      <c r="S115" s="170">
        <f t="shared" si="44"/>
        <v>40</v>
      </c>
      <c r="T115" s="168">
        <f t="shared" si="44"/>
        <v>40</v>
      </c>
      <c r="U115" s="168">
        <f t="shared" si="44"/>
        <v>40</v>
      </c>
      <c r="V115" s="168">
        <f t="shared" si="44"/>
        <v>40</v>
      </c>
      <c r="W115" s="169">
        <f t="shared" si="44"/>
        <v>40</v>
      </c>
      <c r="X115" s="142" t="s">
        <v>150</v>
      </c>
    </row>
    <row r="116" spans="1:24" ht="15" customHeight="1">
      <c r="A116" s="155" t="s">
        <v>94</v>
      </c>
      <c r="B116" s="209">
        <v>0</v>
      </c>
      <c r="C116" s="210">
        <v>0</v>
      </c>
      <c r="D116" s="209">
        <f t="shared" si="39"/>
        <v>0</v>
      </c>
      <c r="E116" s="210">
        <f t="shared" si="40"/>
        <v>0</v>
      </c>
      <c r="F116" s="159">
        <f t="shared" si="41"/>
        <v>170</v>
      </c>
      <c r="G116" s="160">
        <f t="shared" si="41"/>
        <v>170</v>
      </c>
      <c r="H116" s="160">
        <f t="shared" si="41"/>
        <v>170</v>
      </c>
      <c r="I116" s="160">
        <f t="shared" si="41"/>
        <v>170</v>
      </c>
      <c r="J116" s="160">
        <f t="shared" si="41"/>
        <v>170</v>
      </c>
      <c r="K116" s="160">
        <f t="shared" si="41"/>
        <v>170</v>
      </c>
      <c r="L116" s="171">
        <v>170</v>
      </c>
      <c r="M116" s="160">
        <f t="shared" si="42"/>
        <v>170</v>
      </c>
      <c r="N116" s="160">
        <f t="shared" si="42"/>
        <v>170</v>
      </c>
      <c r="O116" s="168">
        <f t="shared" si="42"/>
        <v>170</v>
      </c>
      <c r="P116" s="169">
        <f t="shared" si="42"/>
        <v>170</v>
      </c>
      <c r="Q116" s="170">
        <f t="shared" si="43"/>
        <v>170</v>
      </c>
      <c r="R116" s="169">
        <f t="shared" si="43"/>
        <v>170</v>
      </c>
      <c r="S116" s="170">
        <f t="shared" si="44"/>
        <v>170</v>
      </c>
      <c r="T116" s="168">
        <f t="shared" si="44"/>
        <v>170</v>
      </c>
      <c r="U116" s="168">
        <f t="shared" si="44"/>
        <v>170</v>
      </c>
      <c r="V116" s="168">
        <f t="shared" si="44"/>
        <v>170</v>
      </c>
      <c r="W116" s="169">
        <f t="shared" si="44"/>
        <v>170</v>
      </c>
      <c r="X116" s="142" t="s">
        <v>151</v>
      </c>
    </row>
    <row r="117" spans="1:24" ht="15" customHeight="1">
      <c r="A117" s="155" t="s">
        <v>96</v>
      </c>
      <c r="B117" s="209">
        <v>0</v>
      </c>
      <c r="C117" s="210">
        <v>0</v>
      </c>
      <c r="D117" s="209">
        <f t="shared" si="39"/>
        <v>0</v>
      </c>
      <c r="E117" s="210">
        <f t="shared" si="40"/>
        <v>0</v>
      </c>
      <c r="F117" s="159">
        <f t="shared" si="41"/>
        <v>8</v>
      </c>
      <c r="G117" s="160">
        <f t="shared" si="41"/>
        <v>8</v>
      </c>
      <c r="H117" s="160">
        <f t="shared" si="41"/>
        <v>8</v>
      </c>
      <c r="I117" s="160">
        <f t="shared" si="41"/>
        <v>8</v>
      </c>
      <c r="J117" s="160">
        <f t="shared" si="41"/>
        <v>8</v>
      </c>
      <c r="K117" s="160">
        <f t="shared" si="41"/>
        <v>8</v>
      </c>
      <c r="L117" s="171">
        <v>8</v>
      </c>
      <c r="M117" s="160">
        <f t="shared" si="42"/>
        <v>8</v>
      </c>
      <c r="N117" s="160">
        <f t="shared" si="42"/>
        <v>8</v>
      </c>
      <c r="O117" s="168">
        <f t="shared" si="42"/>
        <v>8</v>
      </c>
      <c r="P117" s="169">
        <f t="shared" si="42"/>
        <v>8</v>
      </c>
      <c r="Q117" s="170">
        <f t="shared" si="43"/>
        <v>8</v>
      </c>
      <c r="R117" s="169">
        <f t="shared" si="43"/>
        <v>8</v>
      </c>
      <c r="S117" s="170">
        <f t="shared" si="44"/>
        <v>8</v>
      </c>
      <c r="T117" s="168">
        <f t="shared" si="44"/>
        <v>8</v>
      </c>
      <c r="U117" s="168">
        <f t="shared" si="44"/>
        <v>8</v>
      </c>
      <c r="V117" s="168">
        <f t="shared" si="44"/>
        <v>8</v>
      </c>
      <c r="W117" s="169">
        <f t="shared" si="44"/>
        <v>8</v>
      </c>
      <c r="X117" s="142" t="s">
        <v>152</v>
      </c>
    </row>
    <row r="118" spans="1:24" ht="15" customHeight="1">
      <c r="A118" s="155" t="s">
        <v>5</v>
      </c>
      <c r="B118" s="209">
        <v>0</v>
      </c>
      <c r="C118" s="210">
        <v>0.02</v>
      </c>
      <c r="D118" s="423">
        <f>'Input - Hyp CAGR MetaMetaverse'!G8</f>
        <v>0.03560566043182889</v>
      </c>
      <c r="E118" s="424">
        <f>'Input - Hyp CAGR MetaMetaverse'!H8</f>
        <v>0.03560566043182889</v>
      </c>
      <c r="F118" s="159">
        <f t="shared" si="41"/>
        <v>2</v>
      </c>
      <c r="G118" s="160">
        <f t="shared" si="41"/>
        <v>2</v>
      </c>
      <c r="H118" s="160">
        <f t="shared" si="41"/>
        <v>2</v>
      </c>
      <c r="I118" s="160">
        <f t="shared" si="41"/>
        <v>2</v>
      </c>
      <c r="J118" s="160">
        <f t="shared" si="41"/>
        <v>2</v>
      </c>
      <c r="K118" s="160">
        <f t="shared" si="41"/>
        <v>2</v>
      </c>
      <c r="L118" s="171">
        <v>2</v>
      </c>
      <c r="M118" s="160">
        <f t="shared" si="42"/>
        <v>2.04</v>
      </c>
      <c r="N118" s="168">
        <f t="shared" si="42"/>
        <v>2.0808</v>
      </c>
      <c r="O118" s="168">
        <f t="shared" si="42"/>
        <v>2.122416</v>
      </c>
      <c r="P118" s="169">
        <f t="shared" si="42"/>
        <v>2.16486432</v>
      </c>
      <c r="Q118" s="170">
        <f t="shared" si="43"/>
        <v>2.241945743858902</v>
      </c>
      <c r="R118" s="169">
        <f t="shared" si="43"/>
        <v>2.321771702721326</v>
      </c>
      <c r="S118" s="170">
        <f t="shared" si="44"/>
        <v>2.404439917568651</v>
      </c>
      <c r="T118" s="168">
        <f t="shared" si="44"/>
        <v>2.4900515888023347</v>
      </c>
      <c r="U118" s="168">
        <f t="shared" si="44"/>
        <v>2.5787115201309665</v>
      </c>
      <c r="V118" s="168">
        <f t="shared" si="44"/>
        <v>2.670528246868395</v>
      </c>
      <c r="W118" s="169">
        <f t="shared" si="44"/>
        <v>2.7656141687999987</v>
      </c>
      <c r="X118" s="142" t="s">
        <v>153</v>
      </c>
    </row>
    <row r="119" spans="1:24" ht="15" customHeight="1">
      <c r="A119" s="155" t="s">
        <v>33</v>
      </c>
      <c r="B119" s="209">
        <v>0</v>
      </c>
      <c r="C119" s="210">
        <v>0.02</v>
      </c>
      <c r="D119" s="209">
        <f t="shared" si="39"/>
        <v>0.02</v>
      </c>
      <c r="E119" s="210">
        <f t="shared" si="40"/>
        <v>0.02</v>
      </c>
      <c r="F119" s="159">
        <f t="shared" si="41"/>
        <v>44</v>
      </c>
      <c r="G119" s="160">
        <f t="shared" si="41"/>
        <v>44</v>
      </c>
      <c r="H119" s="160">
        <f t="shared" si="41"/>
        <v>44</v>
      </c>
      <c r="I119" s="160">
        <f t="shared" si="41"/>
        <v>44</v>
      </c>
      <c r="J119" s="160">
        <f t="shared" si="41"/>
        <v>44</v>
      </c>
      <c r="K119" s="160">
        <f t="shared" si="41"/>
        <v>44</v>
      </c>
      <c r="L119" s="171">
        <v>44</v>
      </c>
      <c r="M119" s="160">
        <f t="shared" si="42"/>
        <v>44.88</v>
      </c>
      <c r="N119" s="168">
        <f t="shared" si="42"/>
        <v>45.77760000000001</v>
      </c>
      <c r="O119" s="168">
        <f t="shared" si="42"/>
        <v>46.693152000000005</v>
      </c>
      <c r="P119" s="169">
        <f t="shared" si="42"/>
        <v>47.62701504</v>
      </c>
      <c r="Q119" s="170">
        <f t="shared" si="43"/>
        <v>48.579555340800006</v>
      </c>
      <c r="R119" s="169">
        <f t="shared" si="43"/>
        <v>49.551146447616006</v>
      </c>
      <c r="S119" s="170">
        <f t="shared" si="44"/>
        <v>50.542169376568324</v>
      </c>
      <c r="T119" s="168">
        <f t="shared" si="44"/>
        <v>51.55301276409969</v>
      </c>
      <c r="U119" s="168">
        <f t="shared" si="44"/>
        <v>52.584073019381684</v>
      </c>
      <c r="V119" s="168">
        <f t="shared" si="44"/>
        <v>53.63575447976932</v>
      </c>
      <c r="W119" s="169">
        <f t="shared" si="44"/>
        <v>54.7084695693647</v>
      </c>
      <c r="X119" s="142" t="s">
        <v>154</v>
      </c>
    </row>
    <row r="120" spans="1:24" ht="15" customHeight="1">
      <c r="A120" s="155" t="s">
        <v>101</v>
      </c>
      <c r="B120" s="209">
        <v>0.03</v>
      </c>
      <c r="C120" s="210">
        <v>0.03</v>
      </c>
      <c r="D120" s="209">
        <f t="shared" si="39"/>
        <v>0.03</v>
      </c>
      <c r="E120" s="210">
        <f t="shared" si="40"/>
        <v>0.03</v>
      </c>
      <c r="F120" s="159">
        <f t="shared" si="41"/>
        <v>1256.2263850254812</v>
      </c>
      <c r="G120" s="160">
        <f t="shared" si="41"/>
        <v>1293.9131765762456</v>
      </c>
      <c r="H120" s="160">
        <f t="shared" si="41"/>
        <v>1332.730571873533</v>
      </c>
      <c r="I120" s="160">
        <f t="shared" si="41"/>
        <v>1372.7124890297391</v>
      </c>
      <c r="J120" s="160">
        <f t="shared" si="41"/>
        <v>1413.8938637006313</v>
      </c>
      <c r="K120" s="160">
        <f t="shared" si="41"/>
        <v>1456.3106796116504</v>
      </c>
      <c r="L120" s="171">
        <v>1500</v>
      </c>
      <c r="M120" s="160">
        <f t="shared" si="42"/>
        <v>1545</v>
      </c>
      <c r="N120" s="168">
        <f t="shared" si="42"/>
        <v>1591.3500000000001</v>
      </c>
      <c r="O120" s="168">
        <f t="shared" si="42"/>
        <v>1639.0905000000002</v>
      </c>
      <c r="P120" s="169">
        <f t="shared" si="42"/>
        <v>1688.2632150000004</v>
      </c>
      <c r="Q120" s="170">
        <f t="shared" si="43"/>
        <v>1738.9111114500004</v>
      </c>
      <c r="R120" s="169">
        <f t="shared" si="43"/>
        <v>1791.0784447935005</v>
      </c>
      <c r="S120" s="170">
        <f t="shared" si="44"/>
        <v>1844.8107981373055</v>
      </c>
      <c r="T120" s="168">
        <f t="shared" si="44"/>
        <v>1900.1551220814247</v>
      </c>
      <c r="U120" s="168">
        <f t="shared" si="44"/>
        <v>1957.1597757438674</v>
      </c>
      <c r="V120" s="168">
        <f t="shared" si="44"/>
        <v>2015.8745690161834</v>
      </c>
      <c r="W120" s="169">
        <f t="shared" si="44"/>
        <v>2076.350806086669</v>
      </c>
      <c r="X120" s="142" t="s">
        <v>150</v>
      </c>
    </row>
    <row r="121" spans="1:24" ht="15" customHeight="1">
      <c r="A121" s="178" t="s">
        <v>16</v>
      </c>
      <c r="B121" s="217">
        <v>0</v>
      </c>
      <c r="C121" s="218">
        <v>0</v>
      </c>
      <c r="D121" s="423">
        <f>'Input - Hyp CAGR MetaMetaverse'!G24</f>
        <v>0.02</v>
      </c>
      <c r="E121" s="424">
        <f>'Input - Hyp CAGR MetaMetaverse'!H24</f>
        <v>0.04</v>
      </c>
      <c r="F121" s="219">
        <f t="shared" si="41"/>
        <v>26.28</v>
      </c>
      <c r="G121" s="220">
        <f t="shared" si="41"/>
        <v>26.28</v>
      </c>
      <c r="H121" s="220">
        <f t="shared" si="41"/>
        <v>26.28</v>
      </c>
      <c r="I121" s="220">
        <f t="shared" si="41"/>
        <v>26.28</v>
      </c>
      <c r="J121" s="220">
        <f t="shared" si="41"/>
        <v>26.28</v>
      </c>
      <c r="K121" s="220">
        <f t="shared" si="41"/>
        <v>26.28</v>
      </c>
      <c r="L121" s="221">
        <f>3*365*24/1000</f>
        <v>26.28</v>
      </c>
      <c r="M121" s="220">
        <f t="shared" si="42"/>
        <v>26.28</v>
      </c>
      <c r="N121" s="233">
        <f t="shared" si="42"/>
        <v>26.28</v>
      </c>
      <c r="O121" s="233">
        <f t="shared" si="42"/>
        <v>26.28</v>
      </c>
      <c r="P121" s="234">
        <f t="shared" si="42"/>
        <v>26.28</v>
      </c>
      <c r="Q121" s="235">
        <f t="shared" si="43"/>
        <v>26.805600000000002</v>
      </c>
      <c r="R121" s="234">
        <f t="shared" si="43"/>
        <v>27.341712</v>
      </c>
      <c r="S121" s="235">
        <f t="shared" si="44"/>
        <v>28.435380480000003</v>
      </c>
      <c r="T121" s="233">
        <f t="shared" si="44"/>
        <v>29.572795699200004</v>
      </c>
      <c r="U121" s="233">
        <f t="shared" si="44"/>
        <v>30.755707527168006</v>
      </c>
      <c r="V121" s="233">
        <f t="shared" si="44"/>
        <v>31.98593582825473</v>
      </c>
      <c r="W121" s="234">
        <f t="shared" si="44"/>
        <v>33.265373261384916</v>
      </c>
      <c r="X121" s="142" t="s">
        <v>155</v>
      </c>
    </row>
    <row r="122" spans="1:23" ht="15" customHeight="1">
      <c r="A122" s="236"/>
      <c r="B122" s="237"/>
      <c r="C122" s="237"/>
      <c r="D122" s="237"/>
      <c r="E122" s="237"/>
      <c r="F122" s="238"/>
      <c r="G122" s="238"/>
      <c r="H122" s="238"/>
      <c r="I122" s="238"/>
      <c r="J122" s="238"/>
      <c r="K122" s="238"/>
      <c r="L122" s="239"/>
      <c r="M122" s="238"/>
      <c r="N122" s="240"/>
      <c r="O122" s="240"/>
      <c r="P122" s="240"/>
      <c r="Q122" s="240"/>
      <c r="R122" s="240"/>
      <c r="S122" s="240"/>
      <c r="T122" s="240"/>
      <c r="U122" s="240"/>
      <c r="V122" s="240"/>
      <c r="W122" s="240"/>
    </row>
    <row r="123" spans="1:23" ht="15" customHeight="1">
      <c r="A123" s="236"/>
      <c r="B123" s="237"/>
      <c r="C123" s="237"/>
      <c r="D123" s="237"/>
      <c r="E123" s="237"/>
      <c r="F123" s="238"/>
      <c r="G123" s="238"/>
      <c r="H123" s="238"/>
      <c r="I123" s="238"/>
      <c r="J123" s="238"/>
      <c r="K123" s="238"/>
      <c r="L123" s="239"/>
      <c r="M123" s="238"/>
      <c r="N123" s="240"/>
      <c r="O123" s="240"/>
      <c r="P123" s="240"/>
      <c r="Q123" s="240"/>
      <c r="R123" s="240"/>
      <c r="S123" s="240"/>
      <c r="T123" s="240"/>
      <c r="U123" s="240"/>
      <c r="V123" s="240"/>
      <c r="W123" s="240"/>
    </row>
    <row r="124" spans="1:23" ht="15" customHeight="1">
      <c r="A124" s="236"/>
      <c r="B124" s="237"/>
      <c r="C124" s="237"/>
      <c r="D124" s="237"/>
      <c r="E124" s="237"/>
      <c r="F124" s="238"/>
      <c r="G124" s="238"/>
      <c r="H124" s="238"/>
      <c r="I124" s="238"/>
      <c r="J124" s="238"/>
      <c r="K124" s="238"/>
      <c r="L124" s="239"/>
      <c r="M124" s="238"/>
      <c r="N124" s="240"/>
      <c r="O124" s="240"/>
      <c r="P124" s="240"/>
      <c r="Q124" s="240"/>
      <c r="R124" s="240"/>
      <c r="S124" s="240"/>
      <c r="T124" s="240"/>
      <c r="U124" s="240"/>
      <c r="V124" s="240"/>
      <c r="W124" s="240"/>
    </row>
    <row r="125" spans="1:23" ht="15" customHeight="1">
      <c r="A125" s="242"/>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row>
    <row r="126" spans="1:23" ht="15" customHeight="1">
      <c r="A126" s="207"/>
      <c r="B126" s="207"/>
      <c r="C126" s="207"/>
      <c r="D126" s="207"/>
      <c r="E126" s="207"/>
      <c r="F126" s="142"/>
      <c r="G126" s="142"/>
      <c r="H126" s="142"/>
      <c r="I126" s="142"/>
      <c r="J126" s="142"/>
      <c r="K126" s="142"/>
      <c r="L126" s="142"/>
      <c r="M126" s="208"/>
      <c r="N126" s="208"/>
      <c r="O126" s="208"/>
      <c r="P126" s="208"/>
      <c r="Q126" s="208"/>
      <c r="R126" s="208"/>
      <c r="S126" s="208"/>
      <c r="T126" s="208"/>
      <c r="U126" s="208"/>
      <c r="V126" s="208"/>
      <c r="W126" s="208"/>
    </row>
    <row r="127" spans="1:23" ht="15" customHeight="1">
      <c r="A127" s="207"/>
      <c r="B127" s="207"/>
      <c r="C127" s="207"/>
      <c r="D127" s="207"/>
      <c r="E127" s="207"/>
      <c r="F127" s="142"/>
      <c r="G127" s="142"/>
      <c r="H127" s="142"/>
      <c r="I127" s="142"/>
      <c r="J127" s="142"/>
      <c r="K127" s="142"/>
      <c r="L127" s="142"/>
      <c r="M127" s="208"/>
      <c r="N127" s="208"/>
      <c r="O127" s="208"/>
      <c r="P127" s="208"/>
      <c r="Q127" s="208"/>
      <c r="R127" s="208"/>
      <c r="S127" s="208"/>
      <c r="T127" s="208"/>
      <c r="U127" s="208"/>
      <c r="V127" s="208"/>
      <c r="W127" s="208"/>
    </row>
    <row r="128" spans="1:26" ht="30" customHeight="1">
      <c r="A128" s="151" t="s">
        <v>156</v>
      </c>
      <c r="B128" s="153" t="s">
        <v>354</v>
      </c>
      <c r="C128" s="154" t="s">
        <v>71</v>
      </c>
      <c r="D128" s="153" t="s">
        <v>72</v>
      </c>
      <c r="E128" s="154" t="s">
        <v>73</v>
      </c>
      <c r="F128" s="153">
        <v>2013</v>
      </c>
      <c r="G128" s="152">
        <v>2014</v>
      </c>
      <c r="H128" s="152">
        <v>2015</v>
      </c>
      <c r="I128" s="152">
        <v>2016</v>
      </c>
      <c r="J128" s="152">
        <v>2017</v>
      </c>
      <c r="K128" s="152">
        <v>2018</v>
      </c>
      <c r="L128" s="152">
        <v>2019</v>
      </c>
      <c r="M128" s="152">
        <v>2020</v>
      </c>
      <c r="N128" s="152">
        <v>2021</v>
      </c>
      <c r="O128" s="152">
        <v>2022</v>
      </c>
      <c r="P128" s="154">
        <v>2023</v>
      </c>
      <c r="Q128" s="153">
        <v>2024</v>
      </c>
      <c r="R128" s="154">
        <v>2025</v>
      </c>
      <c r="S128" s="153">
        <v>2026</v>
      </c>
      <c r="T128" s="152">
        <v>2027</v>
      </c>
      <c r="U128" s="152">
        <v>2028</v>
      </c>
      <c r="V128" s="152">
        <v>2029</v>
      </c>
      <c r="W128" s="154">
        <v>2030</v>
      </c>
      <c r="Z128" s="419"/>
    </row>
    <row r="129" spans="1:27" ht="15" customHeight="1">
      <c r="A129" s="155" t="s">
        <v>158</v>
      </c>
      <c r="B129" s="209"/>
      <c r="C129" s="427">
        <v>0.15</v>
      </c>
      <c r="D129" s="428">
        <f>'Input - Hyp CAGR MetaMetaverse'!G28</f>
        <v>0.2926783502631569</v>
      </c>
      <c r="E129" s="429">
        <f>'Input - Hyp CAGR MetaMetaverse'!H28</f>
        <v>0.2926783502631569</v>
      </c>
      <c r="F129" s="244">
        <v>342.72</v>
      </c>
      <c r="G129" s="245">
        <v>388.8</v>
      </c>
      <c r="H129" s="245">
        <v>506.48275862068965</v>
      </c>
      <c r="I129" s="245">
        <v>587.52</v>
      </c>
      <c r="J129" s="246">
        <v>702</v>
      </c>
      <c r="K129" s="168">
        <f>J129*1.15</f>
        <v>807.3</v>
      </c>
      <c r="L129" s="168">
        <f>K129*1.15</f>
        <v>928.3949999999999</v>
      </c>
      <c r="M129" s="160">
        <f t="shared" si="42"/>
        <v>1067.6542499999998</v>
      </c>
      <c r="N129" s="160">
        <f t="shared" si="42"/>
        <v>1227.8023874999997</v>
      </c>
      <c r="O129" s="171">
        <f t="shared" si="42"/>
        <v>1411.9727456249996</v>
      </c>
      <c r="P129" s="247">
        <f t="shared" si="42"/>
        <v>1623.7686574687493</v>
      </c>
      <c r="Q129" s="248">
        <f t="shared" si="43"/>
        <v>2099.010589345724</v>
      </c>
      <c r="R129" s="247">
        <f aca="true" t="shared" si="46" ref="R129:R130">(1+$D129)*Q129</f>
        <v>2713.345545820327</v>
      </c>
      <c r="S129" s="249">
        <f t="shared" si="44"/>
        <v>3507.4830438649055</v>
      </c>
      <c r="T129" s="193">
        <f aca="true" t="shared" si="47" ref="T129:W130">(1+$E129)*S129</f>
        <v>4534.047394719282</v>
      </c>
      <c r="U129" s="193">
        <f t="shared" si="47"/>
        <v>5861.064906220687</v>
      </c>
      <c r="V129" s="193">
        <f t="shared" si="47"/>
        <v>7576.471713758642</v>
      </c>
      <c r="W129" s="250">
        <f t="shared" si="47"/>
        <v>9793.940955756994</v>
      </c>
      <c r="X129" s="142"/>
      <c r="Y129" s="142"/>
      <c r="Z129" s="419"/>
      <c r="AA129" s="142"/>
    </row>
    <row r="130" spans="1:27" ht="15" customHeight="1">
      <c r="A130" s="155" t="s">
        <v>161</v>
      </c>
      <c r="B130" s="209"/>
      <c r="C130" s="427">
        <v>0.31</v>
      </c>
      <c r="D130" s="423">
        <f>'Input - Hyp CAGR MetaMetaverse'!G29</f>
        <v>0.35399653129949016</v>
      </c>
      <c r="E130" s="424">
        <f>'Input - Hyp CAGR MetaMetaverse'!H29</f>
        <v>0.35399653129949016</v>
      </c>
      <c r="F130" s="170">
        <v>250.92</v>
      </c>
      <c r="G130" s="168">
        <v>302.4</v>
      </c>
      <c r="H130" s="168">
        <v>403.2</v>
      </c>
      <c r="I130" s="168">
        <v>483.84</v>
      </c>
      <c r="J130" s="190">
        <v>629</v>
      </c>
      <c r="K130" s="168">
        <f>J130*1.31</f>
        <v>823.99</v>
      </c>
      <c r="L130" s="168">
        <f>K130*1.31</f>
        <v>1079.4269000000002</v>
      </c>
      <c r="M130" s="168">
        <f t="shared" si="42"/>
        <v>1414.0492390000002</v>
      </c>
      <c r="N130" s="160">
        <f t="shared" si="42"/>
        <v>1852.4045030900004</v>
      </c>
      <c r="O130" s="171">
        <f t="shared" si="42"/>
        <v>2426.649899047901</v>
      </c>
      <c r="P130" s="247">
        <f t="shared" si="42"/>
        <v>3178.9113677527503</v>
      </c>
      <c r="Q130" s="248">
        <f t="shared" si="43"/>
        <v>4304.2349652457415</v>
      </c>
      <c r="R130" s="247">
        <f t="shared" si="46"/>
        <v>5827.919212840716</v>
      </c>
      <c r="S130" s="249">
        <f t="shared" si="44"/>
        <v>7890.982398879984</v>
      </c>
      <c r="T130" s="193">
        <f t="shared" si="47"/>
        <v>10684.36279662883</v>
      </c>
      <c r="U130" s="193">
        <f t="shared" si="47"/>
        <v>14466.590165780755</v>
      </c>
      <c r="V130" s="193">
        <f t="shared" si="47"/>
        <v>19587.71290419846</v>
      </c>
      <c r="W130" s="250">
        <f t="shared" si="47"/>
        <v>26521.695328374975</v>
      </c>
      <c r="X130" s="142"/>
      <c r="Y130" s="142"/>
      <c r="Z130" s="419"/>
      <c r="AA130" s="142"/>
    </row>
    <row r="131" spans="1:27" ht="15" customHeight="1">
      <c r="A131" s="155" t="s">
        <v>163</v>
      </c>
      <c r="B131" s="209"/>
      <c r="C131" s="427"/>
      <c r="D131" s="243"/>
      <c r="E131" s="216"/>
      <c r="F131" s="170">
        <f>SUM(F129:F130)</f>
        <v>593.64</v>
      </c>
      <c r="G131" s="168">
        <f>SUM(G129:G130)</f>
        <v>691.2</v>
      </c>
      <c r="H131" s="168">
        <f>SUM(H129:H130)</f>
        <v>909.6827586206896</v>
      </c>
      <c r="I131" s="168">
        <f>SUM(I129:I130)</f>
        <v>1071.36</v>
      </c>
      <c r="J131" s="168">
        <f>SUM(J129:J130)</f>
        <v>1331</v>
      </c>
      <c r="K131" s="168">
        <f aca="true" t="shared" si="48" ref="K131:P131">SUM(K129:K130)</f>
        <v>1631.29</v>
      </c>
      <c r="L131" s="168">
        <f t="shared" si="48"/>
        <v>2007.8219</v>
      </c>
      <c r="M131" s="160">
        <f t="shared" si="48"/>
        <v>2481.703489</v>
      </c>
      <c r="N131" s="160">
        <f t="shared" si="48"/>
        <v>3080.20689059</v>
      </c>
      <c r="O131" s="160">
        <f t="shared" si="48"/>
        <v>3838.6226446729006</v>
      </c>
      <c r="P131" s="161">
        <f t="shared" si="48"/>
        <v>4802.6800252215</v>
      </c>
      <c r="Q131" s="159">
        <f>SUM(Q129:Q130)</f>
        <v>6403.245554591465</v>
      </c>
      <c r="R131" s="161">
        <f>SUM(R129:R130)</f>
        <v>8541.264758661044</v>
      </c>
      <c r="S131" s="249">
        <f aca="true" t="shared" si="49" ref="S131:W131">SUM(S129:S130)</f>
        <v>11398.46544274489</v>
      </c>
      <c r="T131" s="193">
        <f t="shared" si="49"/>
        <v>15218.410191348112</v>
      </c>
      <c r="U131" s="193">
        <f t="shared" si="49"/>
        <v>20327.655072001442</v>
      </c>
      <c r="V131" s="193">
        <f t="shared" si="49"/>
        <v>27164.1846179571</v>
      </c>
      <c r="W131" s="250">
        <f t="shared" si="49"/>
        <v>36315.63628413197</v>
      </c>
      <c r="Z131" s="419"/>
      <c r="AA131" s="142"/>
    </row>
    <row r="132" spans="1:27" ht="15" customHeight="1">
      <c r="A132" s="155" t="s">
        <v>165</v>
      </c>
      <c r="B132" s="209">
        <v>0.66</v>
      </c>
      <c r="C132" s="430">
        <f>'Input - Hyp CAGR MetaMetaverse'!C39</f>
        <v>0.42</v>
      </c>
      <c r="D132" s="425">
        <f>'Input - Hyp CAGR MetaMetaverse'!G30</f>
        <v>0.37</v>
      </c>
      <c r="E132" s="426">
        <f>'Input - Hyp CAGR MetaMetaverse'!H30</f>
        <v>0.37</v>
      </c>
      <c r="F132" s="170">
        <v>16</v>
      </c>
      <c r="G132" s="168">
        <v>28.799999999999955</v>
      </c>
      <c r="H132" s="168">
        <v>58.9041095890411</v>
      </c>
      <c r="I132" s="168">
        <v>86</v>
      </c>
      <c r="J132" s="168">
        <v>133</v>
      </c>
      <c r="K132" s="168">
        <f>19*12</f>
        <v>228</v>
      </c>
      <c r="L132" s="168">
        <f>29*12</f>
        <v>348</v>
      </c>
      <c r="M132" s="160">
        <f aca="true" t="shared" si="50" ref="M132:P132">(1+$C132)*L132</f>
        <v>494.15999999999997</v>
      </c>
      <c r="N132" s="160">
        <f t="shared" si="50"/>
        <v>701.7072</v>
      </c>
      <c r="O132" s="160">
        <f t="shared" si="50"/>
        <v>996.4242239999999</v>
      </c>
      <c r="P132" s="161">
        <f t="shared" si="50"/>
        <v>1414.9223980799998</v>
      </c>
      <c r="Q132" s="159">
        <f>(1+$D132)*P132</f>
        <v>1938.4436853695997</v>
      </c>
      <c r="R132" s="161">
        <f>(1+$D132)*Q132</f>
        <v>2655.667848956352</v>
      </c>
      <c r="S132" s="249">
        <f>(1+$E132)*R132</f>
        <v>3638.2649530702024</v>
      </c>
      <c r="T132" s="193">
        <f aca="true" t="shared" si="51" ref="T132:W132">(1+$E132)*S132</f>
        <v>4984.422985706177</v>
      </c>
      <c r="U132" s="193">
        <f t="shared" si="51"/>
        <v>6828.6594904174635</v>
      </c>
      <c r="V132" s="193">
        <f t="shared" si="51"/>
        <v>9355.263501871927</v>
      </c>
      <c r="W132" s="250">
        <f t="shared" si="51"/>
        <v>12816.71099756454</v>
      </c>
      <c r="X132" s="142" t="s">
        <v>355</v>
      </c>
      <c r="Y132" s="238"/>
      <c r="Z132" s="419"/>
      <c r="AA132" s="142"/>
    </row>
    <row r="133" spans="1:26" ht="15" customHeight="1">
      <c r="A133" s="197" t="s">
        <v>166</v>
      </c>
      <c r="B133" s="229"/>
      <c r="C133" s="256"/>
      <c r="D133" s="431"/>
      <c r="E133" s="295"/>
      <c r="F133" s="205">
        <f aca="true" t="shared" si="52" ref="F133:W133">SUM(F131:F132)</f>
        <v>609.64</v>
      </c>
      <c r="G133" s="203">
        <f t="shared" si="52"/>
        <v>720</v>
      </c>
      <c r="H133" s="203">
        <f t="shared" si="52"/>
        <v>968.5868682097307</v>
      </c>
      <c r="I133" s="203">
        <f t="shared" si="52"/>
        <v>1157.36</v>
      </c>
      <c r="J133" s="203">
        <f t="shared" si="52"/>
        <v>1464</v>
      </c>
      <c r="K133" s="203">
        <f t="shared" si="52"/>
        <v>1859.29</v>
      </c>
      <c r="L133" s="203">
        <f t="shared" si="52"/>
        <v>2355.8219</v>
      </c>
      <c r="M133" s="202">
        <f t="shared" si="52"/>
        <v>2975.863489</v>
      </c>
      <c r="N133" s="202">
        <f t="shared" si="52"/>
        <v>3781.91409059</v>
      </c>
      <c r="O133" s="202">
        <f t="shared" si="52"/>
        <v>4835.0468686729</v>
      </c>
      <c r="P133" s="259">
        <f t="shared" si="52"/>
        <v>6217.6024233015</v>
      </c>
      <c r="Q133" s="201">
        <f t="shared" si="52"/>
        <v>8341.689239961066</v>
      </c>
      <c r="R133" s="259">
        <f t="shared" si="52"/>
        <v>11196.932607617397</v>
      </c>
      <c r="S133" s="260">
        <f t="shared" si="52"/>
        <v>15036.730395815091</v>
      </c>
      <c r="T133" s="261">
        <f t="shared" si="52"/>
        <v>20202.83317705429</v>
      </c>
      <c r="U133" s="261">
        <f t="shared" si="52"/>
        <v>27156.314562418906</v>
      </c>
      <c r="V133" s="261">
        <f t="shared" si="52"/>
        <v>36519.44811982903</v>
      </c>
      <c r="W133" s="262">
        <f t="shared" si="52"/>
        <v>49132.34728169651</v>
      </c>
      <c r="Z133" s="419"/>
    </row>
    <row r="134" spans="1:26" ht="15" customHeight="1">
      <c r="A134" s="155" t="s">
        <v>167</v>
      </c>
      <c r="B134" s="209"/>
      <c r="C134" s="227">
        <v>0.3</v>
      </c>
      <c r="D134" s="423">
        <f>'Input - Hyp CAGR MetaMetaverse'!G31</f>
        <v>0.3</v>
      </c>
      <c r="E134" s="424">
        <f>'Input - Hyp CAGR MetaMetaverse'!G31</f>
        <v>0.3</v>
      </c>
      <c r="F134" s="170">
        <f aca="true" t="shared" si="53" ref="F134:L135">F200</f>
        <v>698.0325120000001</v>
      </c>
      <c r="G134" s="168">
        <f aca="true" t="shared" si="54" ref="G134:L134">G200</f>
        <v>1008.032</v>
      </c>
      <c r="H134" s="168">
        <f t="shared" si="54"/>
        <v>1598.0000000000002</v>
      </c>
      <c r="I134" s="168">
        <f t="shared" si="54"/>
        <v>2652</v>
      </c>
      <c r="J134" s="168">
        <f t="shared" si="54"/>
        <v>3800.9790000000003</v>
      </c>
      <c r="K134" s="168">
        <f t="shared" si="54"/>
        <v>5189.213484</v>
      </c>
      <c r="L134" s="168">
        <f t="shared" si="54"/>
        <v>6755.416529588999</v>
      </c>
      <c r="M134" s="160">
        <f aca="true" t="shared" si="55" ref="M134:P135">(1+$C134)*L134</f>
        <v>8782.041488465698</v>
      </c>
      <c r="N134" s="160">
        <f t="shared" si="55"/>
        <v>11416.653935005408</v>
      </c>
      <c r="O134" s="263">
        <f t="shared" si="55"/>
        <v>14841.650115507031</v>
      </c>
      <c r="P134" s="264">
        <f t="shared" si="55"/>
        <v>19294.14515015914</v>
      </c>
      <c r="Q134" s="265">
        <f aca="true" t="shared" si="56" ref="Q134:Q135">(1+$D134)*P134</f>
        <v>25082.388695206882</v>
      </c>
      <c r="R134" s="264">
        <f aca="true" t="shared" si="57" ref="R134:R135">(1+$D134)*Q134</f>
        <v>32607.10530376895</v>
      </c>
      <c r="S134" s="249">
        <f aca="true" t="shared" si="58" ref="S134:S135">(1+$E134)*R134</f>
        <v>42389.23689489964</v>
      </c>
      <c r="T134" s="193">
        <f aca="true" t="shared" si="59" ref="T134:W135">(1+$E134)*S134</f>
        <v>55106.00796336953</v>
      </c>
      <c r="U134" s="193">
        <f t="shared" si="59"/>
        <v>71637.81035238039</v>
      </c>
      <c r="V134" s="193">
        <f t="shared" si="59"/>
        <v>93129.1534580945</v>
      </c>
      <c r="W134" s="250">
        <f t="shared" si="59"/>
        <v>121067.89949552286</v>
      </c>
      <c r="Z134" s="419"/>
    </row>
    <row r="135" spans="1:26" ht="15" customHeight="1">
      <c r="A135" s="155" t="s">
        <v>168</v>
      </c>
      <c r="B135" s="209"/>
      <c r="C135" s="227">
        <v>0.13</v>
      </c>
      <c r="D135" s="423">
        <f>'Input - Hyp CAGR MetaMetaverse'!G32</f>
        <v>0.25</v>
      </c>
      <c r="E135" s="424">
        <f>'Input - Hyp CAGR MetaMetaverse'!H32</f>
        <v>0.25</v>
      </c>
      <c r="F135" s="170">
        <f t="shared" si="53"/>
        <v>2001.9674879999998</v>
      </c>
      <c r="G135" s="168">
        <f t="shared" si="53"/>
        <v>2391.968</v>
      </c>
      <c r="H135" s="168">
        <f t="shared" si="53"/>
        <v>3102</v>
      </c>
      <c r="I135" s="168">
        <f t="shared" si="53"/>
        <v>4148</v>
      </c>
      <c r="J135" s="168">
        <f t="shared" si="53"/>
        <v>5299.021</v>
      </c>
      <c r="K135" s="168">
        <f t="shared" si="53"/>
        <v>6410.786516</v>
      </c>
      <c r="L135" s="168">
        <f t="shared" si="53"/>
        <v>7344.583470411001</v>
      </c>
      <c r="M135" s="160">
        <f t="shared" si="55"/>
        <v>8299.379321564431</v>
      </c>
      <c r="N135" s="160">
        <f t="shared" si="55"/>
        <v>9378.298633367805</v>
      </c>
      <c r="O135" s="263">
        <f t="shared" si="55"/>
        <v>10597.477455705619</v>
      </c>
      <c r="P135" s="264">
        <f t="shared" si="55"/>
        <v>11975.149524947348</v>
      </c>
      <c r="Q135" s="265">
        <f t="shared" si="56"/>
        <v>14968.936906184186</v>
      </c>
      <c r="R135" s="264">
        <f t="shared" si="57"/>
        <v>18711.171132730233</v>
      </c>
      <c r="S135" s="249">
        <f t="shared" si="58"/>
        <v>23388.96391591279</v>
      </c>
      <c r="T135" s="193">
        <f t="shared" si="59"/>
        <v>29236.204894890987</v>
      </c>
      <c r="U135" s="193">
        <f t="shared" si="59"/>
        <v>36545.25611861373</v>
      </c>
      <c r="V135" s="193">
        <f t="shared" si="59"/>
        <v>45681.570148267165</v>
      </c>
      <c r="W135" s="250">
        <f t="shared" si="59"/>
        <v>57101.96268533396</v>
      </c>
      <c r="Z135" s="419"/>
    </row>
    <row r="136" spans="1:27" ht="15" customHeight="1">
      <c r="A136" s="197" t="s">
        <v>169</v>
      </c>
      <c r="B136" s="229"/>
      <c r="C136" s="256"/>
      <c r="D136" s="257"/>
      <c r="E136" s="258"/>
      <c r="F136" s="205">
        <f aca="true" t="shared" si="60" ref="F136:W136">SUM(F134:F135)</f>
        <v>2700</v>
      </c>
      <c r="G136" s="203">
        <f t="shared" si="60"/>
        <v>3400</v>
      </c>
      <c r="H136" s="203">
        <f t="shared" si="60"/>
        <v>4700</v>
      </c>
      <c r="I136" s="203">
        <f t="shared" si="60"/>
        <v>6800</v>
      </c>
      <c r="J136" s="204">
        <f t="shared" si="60"/>
        <v>9100</v>
      </c>
      <c r="K136" s="203">
        <f t="shared" si="60"/>
        <v>11600</v>
      </c>
      <c r="L136" s="203">
        <f t="shared" si="60"/>
        <v>14100</v>
      </c>
      <c r="M136" s="202">
        <f t="shared" si="60"/>
        <v>17081.42081003013</v>
      </c>
      <c r="N136" s="202">
        <f t="shared" si="60"/>
        <v>20794.952568373214</v>
      </c>
      <c r="O136" s="202">
        <f t="shared" si="60"/>
        <v>25439.12757121265</v>
      </c>
      <c r="P136" s="266">
        <f t="shared" si="60"/>
        <v>31269.29467510649</v>
      </c>
      <c r="Q136" s="267">
        <f t="shared" si="60"/>
        <v>40051.32560139107</v>
      </c>
      <c r="R136" s="266">
        <f t="shared" si="60"/>
        <v>51318.27643649918</v>
      </c>
      <c r="S136" s="260">
        <f t="shared" si="60"/>
        <v>65778.20081081243</v>
      </c>
      <c r="T136" s="261">
        <f t="shared" si="60"/>
        <v>84342.21285826052</v>
      </c>
      <c r="U136" s="261">
        <f t="shared" si="60"/>
        <v>108183.06647099412</v>
      </c>
      <c r="V136" s="261">
        <f t="shared" si="60"/>
        <v>138810.72360636166</v>
      </c>
      <c r="W136" s="262">
        <f t="shared" si="60"/>
        <v>178169.8621808568</v>
      </c>
      <c r="X136" s="326">
        <v>176030</v>
      </c>
      <c r="Y136" s="326"/>
      <c r="Z136" s="432"/>
      <c r="AA136" s="142"/>
    </row>
    <row r="137" spans="1:26" ht="15" customHeight="1">
      <c r="A137" s="223"/>
      <c r="B137" s="223"/>
      <c r="C137" s="223"/>
      <c r="D137" s="223"/>
      <c r="E137" s="223"/>
      <c r="Z137" s="419"/>
    </row>
    <row r="138" spans="1:26" ht="15" customHeight="1">
      <c r="A138" s="223"/>
      <c r="B138" s="223"/>
      <c r="C138" s="223"/>
      <c r="D138" s="223"/>
      <c r="E138" s="223"/>
      <c r="Z138" s="419"/>
    </row>
    <row r="139" spans="1:26" ht="30" customHeight="1">
      <c r="A139" s="268" t="s">
        <v>170</v>
      </c>
      <c r="B139" s="269" t="s">
        <v>354</v>
      </c>
      <c r="C139" s="154" t="s">
        <v>71</v>
      </c>
      <c r="D139" s="269" t="s">
        <v>72</v>
      </c>
      <c r="E139" s="270" t="s">
        <v>73</v>
      </c>
      <c r="F139" s="269">
        <v>2013</v>
      </c>
      <c r="G139" s="271">
        <v>2014</v>
      </c>
      <c r="H139" s="271">
        <v>2015</v>
      </c>
      <c r="I139" s="271">
        <v>2016</v>
      </c>
      <c r="J139" s="271">
        <v>2017</v>
      </c>
      <c r="K139" s="271">
        <v>2018</v>
      </c>
      <c r="L139" s="271">
        <v>2019</v>
      </c>
      <c r="M139" s="271">
        <v>2020</v>
      </c>
      <c r="N139" s="271">
        <v>2021</v>
      </c>
      <c r="O139" s="271">
        <v>2022</v>
      </c>
      <c r="P139" s="270">
        <v>2023</v>
      </c>
      <c r="Q139" s="269">
        <v>2024</v>
      </c>
      <c r="R139" s="270">
        <v>2025</v>
      </c>
      <c r="S139" s="269">
        <v>2026</v>
      </c>
      <c r="T139" s="271">
        <v>2027</v>
      </c>
      <c r="U139" s="271">
        <v>2028</v>
      </c>
      <c r="V139" s="271">
        <v>2029</v>
      </c>
      <c r="W139" s="270">
        <v>2030</v>
      </c>
      <c r="Z139" s="419"/>
    </row>
    <row r="140" spans="1:23" ht="15" customHeight="1">
      <c r="A140" s="272" t="s">
        <v>158</v>
      </c>
      <c r="B140" s="273">
        <v>-0.25</v>
      </c>
      <c r="C140" s="274">
        <v>-0.22</v>
      </c>
      <c r="D140" s="273">
        <f aca="true" t="shared" si="61" ref="D140:D144">C140</f>
        <v>-0.22</v>
      </c>
      <c r="E140" s="275">
        <f>'Update Scenarios'!D18</f>
        <v>-0.16</v>
      </c>
      <c r="F140" s="276">
        <f aca="true" t="shared" si="62" ref="F140:K144">G140/(1+$B140)</f>
        <v>0.39330589849108377</v>
      </c>
      <c r="G140" s="277">
        <f t="shared" si="62"/>
        <v>0.29497942386831283</v>
      </c>
      <c r="H140" s="277">
        <f t="shared" si="62"/>
        <v>0.2212345679012346</v>
      </c>
      <c r="I140" s="277">
        <f t="shared" si="62"/>
        <v>0.16592592592592595</v>
      </c>
      <c r="J140" s="277">
        <f t="shared" si="62"/>
        <v>0.12444444444444445</v>
      </c>
      <c r="K140" s="277">
        <f t="shared" si="62"/>
        <v>0.09333333333333334</v>
      </c>
      <c r="L140" s="278">
        <v>0.07</v>
      </c>
      <c r="M140" s="277">
        <f aca="true" t="shared" si="63" ref="M140:P144">(1+$C140)*L140</f>
        <v>0.05460000000000001</v>
      </c>
      <c r="N140" s="277">
        <f t="shared" si="63"/>
        <v>0.04258800000000001</v>
      </c>
      <c r="O140" s="277">
        <f t="shared" si="63"/>
        <v>0.03321864000000001</v>
      </c>
      <c r="P140" s="279">
        <f t="shared" si="63"/>
        <v>0.025910539200000006</v>
      </c>
      <c r="Q140" s="276">
        <f aca="true" t="shared" si="64" ref="Q140:R144">(1+$D140)*P140</f>
        <v>0.020210220576000006</v>
      </c>
      <c r="R140" s="279">
        <f>(1+$D140)*Q140</f>
        <v>0.015763972049280005</v>
      </c>
      <c r="S140" s="280">
        <f aca="true" t="shared" si="65" ref="S140:W144">(1+$E140)*R140</f>
        <v>0.013241736521395204</v>
      </c>
      <c r="T140" s="281">
        <f aca="true" t="shared" si="66" ref="T140:W140">(1+$E140)*S140</f>
        <v>0.01112305867797197</v>
      </c>
      <c r="U140" s="281">
        <f t="shared" si="66"/>
        <v>0.009343369289496455</v>
      </c>
      <c r="V140" s="281">
        <f t="shared" si="66"/>
        <v>0.007848430203177022</v>
      </c>
      <c r="W140" s="282">
        <f t="shared" si="66"/>
        <v>0.006592681370668698</v>
      </c>
    </row>
    <row r="141" spans="1:29" ht="15" customHeight="1">
      <c r="A141" s="155" t="s">
        <v>161</v>
      </c>
      <c r="B141" s="209">
        <v>-0.25</v>
      </c>
      <c r="C141" s="210">
        <v>-0.22</v>
      </c>
      <c r="D141" s="209">
        <f t="shared" si="61"/>
        <v>-0.22</v>
      </c>
      <c r="E141" s="225">
        <f>'Update Scenarios'!D19</f>
        <v>-0.16</v>
      </c>
      <c r="F141" s="165">
        <f t="shared" si="62"/>
        <v>0.39330589849108377</v>
      </c>
      <c r="G141" s="166">
        <f t="shared" si="62"/>
        <v>0.29497942386831283</v>
      </c>
      <c r="H141" s="166">
        <f t="shared" si="62"/>
        <v>0.2212345679012346</v>
      </c>
      <c r="I141" s="166">
        <f t="shared" si="62"/>
        <v>0.16592592592592595</v>
      </c>
      <c r="J141" s="166">
        <f t="shared" si="62"/>
        <v>0.12444444444444445</v>
      </c>
      <c r="K141" s="166">
        <f t="shared" si="62"/>
        <v>0.09333333333333334</v>
      </c>
      <c r="L141" s="283">
        <v>0.07</v>
      </c>
      <c r="M141" s="166">
        <f t="shared" si="63"/>
        <v>0.05460000000000001</v>
      </c>
      <c r="N141" s="166">
        <f t="shared" si="63"/>
        <v>0.04258800000000001</v>
      </c>
      <c r="O141" s="166">
        <f t="shared" si="63"/>
        <v>0.03321864000000001</v>
      </c>
      <c r="P141" s="167">
        <f t="shared" si="63"/>
        <v>0.025910539200000006</v>
      </c>
      <c r="Q141" s="165">
        <f t="shared" si="64"/>
        <v>0.020210220576000006</v>
      </c>
      <c r="R141" s="167">
        <f t="shared" si="64"/>
        <v>0.015763972049280005</v>
      </c>
      <c r="S141" s="172">
        <f t="shared" si="65"/>
        <v>0.013241736521395204</v>
      </c>
      <c r="T141" s="173">
        <f t="shared" si="65"/>
        <v>0.01112305867797197</v>
      </c>
      <c r="U141" s="173">
        <f t="shared" si="65"/>
        <v>0.009343369289496455</v>
      </c>
      <c r="V141" s="173">
        <f t="shared" si="65"/>
        <v>0.007848430203177022</v>
      </c>
      <c r="W141" s="284">
        <f t="shared" si="65"/>
        <v>0.006592681370668698</v>
      </c>
      <c r="Z141" s="433" t="s">
        <v>358</v>
      </c>
      <c r="AA141" s="433"/>
      <c r="AB141" s="433"/>
      <c r="AC141" s="419"/>
    </row>
    <row r="142" spans="1:31" ht="15" customHeight="1">
      <c r="A142" s="178" t="s">
        <v>165</v>
      </c>
      <c r="B142" s="217">
        <v>-0.2</v>
      </c>
      <c r="C142" s="218">
        <v>-0.2</v>
      </c>
      <c r="D142" s="217">
        <f t="shared" si="61"/>
        <v>-0.2</v>
      </c>
      <c r="E142" s="285">
        <f>'Update Scenarios'!D20</f>
        <v>-0.15</v>
      </c>
      <c r="F142" s="286">
        <f t="shared" si="62"/>
        <v>2.2888183593749987</v>
      </c>
      <c r="G142" s="287">
        <f t="shared" si="62"/>
        <v>1.8310546874999991</v>
      </c>
      <c r="H142" s="287">
        <f t="shared" si="62"/>
        <v>1.4648437499999993</v>
      </c>
      <c r="I142" s="287">
        <f t="shared" si="62"/>
        <v>1.1718749999999996</v>
      </c>
      <c r="J142" s="287">
        <f t="shared" si="62"/>
        <v>0.9374999999999998</v>
      </c>
      <c r="K142" s="287">
        <f t="shared" si="62"/>
        <v>0.7499999999999999</v>
      </c>
      <c r="L142" s="288">
        <v>0.6</v>
      </c>
      <c r="M142" s="287">
        <f t="shared" si="63"/>
        <v>0.48</v>
      </c>
      <c r="N142" s="287">
        <f t="shared" si="63"/>
        <v>0.384</v>
      </c>
      <c r="O142" s="287">
        <f t="shared" si="63"/>
        <v>0.30720000000000003</v>
      </c>
      <c r="P142" s="289">
        <f t="shared" si="63"/>
        <v>0.24576000000000003</v>
      </c>
      <c r="Q142" s="286">
        <f t="shared" si="64"/>
        <v>0.19660800000000003</v>
      </c>
      <c r="R142" s="289">
        <f t="shared" si="64"/>
        <v>0.15728640000000005</v>
      </c>
      <c r="S142" s="181">
        <f t="shared" si="65"/>
        <v>0.13369344000000002</v>
      </c>
      <c r="T142" s="182">
        <f t="shared" si="65"/>
        <v>0.11363942400000002</v>
      </c>
      <c r="U142" s="182">
        <f t="shared" si="65"/>
        <v>0.09659351040000001</v>
      </c>
      <c r="V142" s="182">
        <f t="shared" si="65"/>
        <v>0.08210448384</v>
      </c>
      <c r="W142" s="290">
        <f t="shared" si="65"/>
        <v>0.06978881126400001</v>
      </c>
      <c r="Z142" s="434">
        <v>2023</v>
      </c>
      <c r="AA142" s="434">
        <v>2028</v>
      </c>
      <c r="AB142" s="434">
        <v>2030</v>
      </c>
      <c r="AC142" s="142" t="s">
        <v>359</v>
      </c>
      <c r="AD142" s="419" t="s">
        <v>360</v>
      </c>
      <c r="AE142" s="419" t="s">
        <v>361</v>
      </c>
    </row>
    <row r="143" spans="1:31" ht="15" customHeight="1">
      <c r="A143" s="155" t="s">
        <v>167</v>
      </c>
      <c r="B143" s="209">
        <v>-0.13</v>
      </c>
      <c r="C143" s="210">
        <v>-0.11</v>
      </c>
      <c r="D143" s="209">
        <f t="shared" si="61"/>
        <v>-0.11</v>
      </c>
      <c r="E143" s="216">
        <f aca="true" t="shared" si="67" ref="E143:E144">D143</f>
        <v>-0.11</v>
      </c>
      <c r="F143" s="291">
        <f t="shared" si="62"/>
        <v>0.023983790591528734</v>
      </c>
      <c r="G143" s="292">
        <f t="shared" si="62"/>
        <v>0.020865897814629997</v>
      </c>
      <c r="H143" s="292">
        <f t="shared" si="62"/>
        <v>0.018153331098728097</v>
      </c>
      <c r="I143" s="292">
        <f t="shared" si="62"/>
        <v>0.015793398055893443</v>
      </c>
      <c r="J143" s="292">
        <f t="shared" si="62"/>
        <v>0.013740256308627295</v>
      </c>
      <c r="K143" s="292">
        <f t="shared" si="62"/>
        <v>0.011954022988505746</v>
      </c>
      <c r="L143" s="293">
        <v>0.0104</v>
      </c>
      <c r="M143" s="292">
        <f t="shared" si="63"/>
        <v>0.009256</v>
      </c>
      <c r="N143" s="292">
        <f t="shared" si="63"/>
        <v>0.00823784</v>
      </c>
      <c r="O143" s="292">
        <f t="shared" si="63"/>
        <v>0.0073316776</v>
      </c>
      <c r="P143" s="294">
        <f t="shared" si="63"/>
        <v>0.006525193064</v>
      </c>
      <c r="Q143" s="165">
        <f t="shared" si="64"/>
        <v>0.00580742182696</v>
      </c>
      <c r="R143" s="167">
        <f t="shared" si="64"/>
        <v>0.0051686054259944</v>
      </c>
      <c r="S143" s="172">
        <f t="shared" si="65"/>
        <v>0.0046000588291350165</v>
      </c>
      <c r="T143" s="173">
        <f t="shared" si="65"/>
        <v>0.004094052357930165</v>
      </c>
      <c r="U143" s="173">
        <f t="shared" si="65"/>
        <v>0.0036437065985578465</v>
      </c>
      <c r="V143" s="173">
        <f t="shared" si="65"/>
        <v>0.0032428988727164834</v>
      </c>
      <c r="W143" s="284">
        <f t="shared" si="65"/>
        <v>0.00288617999671767</v>
      </c>
      <c r="Y143" s="435" t="s">
        <v>215</v>
      </c>
      <c r="Z143" s="436">
        <f aca="true" t="shared" si="68" ref="Z143:Z144">P134*P143</f>
        <v>125.89802210962766</v>
      </c>
      <c r="AA143" s="436">
        <f aca="true" t="shared" si="69" ref="AA143:AA144">U134*U143</f>
        <v>261.027162287204</v>
      </c>
      <c r="AB143" s="436">
        <f aca="true" t="shared" si="70" ref="AB143:AB144">W134*W143</f>
        <v>349.4237497686034</v>
      </c>
      <c r="AD143" s="419">
        <f aca="true" t="shared" si="71" ref="AD143:AD144">AA143/(O134*O143)</f>
        <v>2.398833768042174</v>
      </c>
      <c r="AE143" s="437">
        <f aca="true" t="shared" si="72" ref="AE143:AE145">AB143/Z143</f>
        <v>2.7754506696247954</v>
      </c>
    </row>
    <row r="144" spans="1:31" ht="15" customHeight="1">
      <c r="A144" s="178" t="s">
        <v>171</v>
      </c>
      <c r="B144" s="217">
        <v>-0.12</v>
      </c>
      <c r="C144" s="218">
        <v>-0.1</v>
      </c>
      <c r="D144" s="217">
        <f t="shared" si="61"/>
        <v>-0.1</v>
      </c>
      <c r="E144" s="295">
        <f t="shared" si="67"/>
        <v>-0.1</v>
      </c>
      <c r="F144" s="296">
        <f t="shared" si="62"/>
        <v>0.10271227441240383</v>
      </c>
      <c r="G144" s="297">
        <f t="shared" si="62"/>
        <v>0.09038680148291536</v>
      </c>
      <c r="H144" s="297">
        <f t="shared" si="62"/>
        <v>0.07954038530496552</v>
      </c>
      <c r="I144" s="297">
        <f t="shared" si="62"/>
        <v>0.06999553906836965</v>
      </c>
      <c r="J144" s="297">
        <f t="shared" si="62"/>
        <v>0.06159607438016529</v>
      </c>
      <c r="K144" s="297">
        <f t="shared" si="62"/>
        <v>0.05420454545454546</v>
      </c>
      <c r="L144" s="298">
        <v>0.0477</v>
      </c>
      <c r="M144" s="297">
        <f t="shared" si="63"/>
        <v>0.04293</v>
      </c>
      <c r="N144" s="297">
        <f t="shared" si="63"/>
        <v>0.038637000000000005</v>
      </c>
      <c r="O144" s="297">
        <f t="shared" si="63"/>
        <v>0.03477330000000001</v>
      </c>
      <c r="P144" s="299">
        <f t="shared" si="63"/>
        <v>0.031295970000000006</v>
      </c>
      <c r="Q144" s="286">
        <f t="shared" si="64"/>
        <v>0.028166373000000005</v>
      </c>
      <c r="R144" s="289">
        <f t="shared" si="64"/>
        <v>0.025349735700000004</v>
      </c>
      <c r="S144" s="181">
        <f t="shared" si="65"/>
        <v>0.022814762130000003</v>
      </c>
      <c r="T144" s="182">
        <f t="shared" si="65"/>
        <v>0.020533285917000002</v>
      </c>
      <c r="U144" s="182">
        <f t="shared" si="65"/>
        <v>0.018479957325300004</v>
      </c>
      <c r="V144" s="182">
        <f t="shared" si="65"/>
        <v>0.016631961592770004</v>
      </c>
      <c r="W144" s="290">
        <f t="shared" si="65"/>
        <v>0.014968765433493004</v>
      </c>
      <c r="Y144" s="435" t="s">
        <v>214</v>
      </c>
      <c r="Z144" s="436">
        <f t="shared" si="68"/>
        <v>374.77392027826653</v>
      </c>
      <c r="AA144" s="436">
        <f t="shared" si="69"/>
        <v>675.3547735141407</v>
      </c>
      <c r="AB144" s="436">
        <f t="shared" si="70"/>
        <v>854.7458852288343</v>
      </c>
      <c r="AD144" s="419">
        <f t="shared" si="71"/>
        <v>1.832667022705078</v>
      </c>
      <c r="AE144" s="437">
        <f t="shared" si="72"/>
        <v>2.2806973457336426</v>
      </c>
    </row>
    <row r="145" spans="25:31" ht="15" customHeight="1">
      <c r="Y145" s="435" t="s">
        <v>362</v>
      </c>
      <c r="Z145" s="436">
        <f>Z143+Z144</f>
        <v>500.6719423878942</v>
      </c>
      <c r="AA145" s="436">
        <f>AA143+AA144</f>
        <v>936.3819358013448</v>
      </c>
      <c r="AB145" s="436">
        <f>AB143+AB144</f>
        <v>1204.1696349974377</v>
      </c>
      <c r="AC145" s="419">
        <f>(AB145/Z145)^(1/(AB142-Z142))-1</f>
        <v>0.1335685125994932</v>
      </c>
      <c r="AD145" s="419"/>
      <c r="AE145" s="437">
        <f t="shared" si="72"/>
        <v>2.40510708320162</v>
      </c>
    </row>
    <row r="146" spans="25:30" ht="14">
      <c r="Y146" s="371"/>
      <c r="Z146" s="438"/>
      <c r="AA146" s="438"/>
      <c r="AB146" s="438"/>
      <c r="AC146" s="419"/>
      <c r="AD146" s="419"/>
    </row>
    <row r="147" spans="1:14" ht="73">
      <c r="A147" s="300" t="s">
        <v>172</v>
      </c>
      <c r="B147" s="300"/>
      <c r="C147" s="300"/>
      <c r="D147" s="300"/>
      <c r="E147" s="300"/>
      <c r="F147" s="301" t="s">
        <v>173</v>
      </c>
      <c r="G147" s="302" t="s">
        <v>174</v>
      </c>
      <c r="H147" s="303" t="s">
        <v>175</v>
      </c>
      <c r="I147" s="303" t="s">
        <v>176</v>
      </c>
      <c r="J147" s="303" t="s">
        <v>177</v>
      </c>
      <c r="K147" s="304" t="s">
        <v>178</v>
      </c>
      <c r="L147" s="304" t="s">
        <v>179</v>
      </c>
      <c r="M147" s="304" t="s">
        <v>180</v>
      </c>
      <c r="N147" s="305" t="s">
        <v>181</v>
      </c>
    </row>
    <row r="148" spans="6:14" ht="14.5">
      <c r="F148" s="306" t="s">
        <v>183</v>
      </c>
      <c r="G148" s="307">
        <f>47/9</f>
        <v>5.222222222222222</v>
      </c>
      <c r="H148" s="308">
        <f>37/9</f>
        <v>4.111111111111111</v>
      </c>
      <c r="I148" s="308">
        <v>5.222222222222222</v>
      </c>
      <c r="J148" s="308">
        <f>47/9</f>
        <v>5.222222222222222</v>
      </c>
      <c r="K148" s="309">
        <f>10*0.9*0.9*0.9*0.9</f>
        <v>6.561</v>
      </c>
      <c r="L148" s="310">
        <v>4.6</v>
      </c>
      <c r="M148" s="310"/>
      <c r="N148" s="311"/>
    </row>
    <row r="149" spans="6:14" ht="14.5">
      <c r="F149" s="306" t="s">
        <v>185</v>
      </c>
      <c r="G149" s="307">
        <f>14/35</f>
        <v>0.4</v>
      </c>
      <c r="H149" s="308">
        <f>11/35</f>
        <v>0.3142857142857143</v>
      </c>
      <c r="I149" s="308">
        <v>0.4</v>
      </c>
      <c r="J149" s="308">
        <f>14/35</f>
        <v>0.4</v>
      </c>
      <c r="K149" s="309">
        <f>1*0.85*0.85*0.85*0.85</f>
        <v>0.5220062499999999</v>
      </c>
      <c r="L149" s="310">
        <v>2.139</v>
      </c>
      <c r="M149" s="310"/>
      <c r="N149" s="311"/>
    </row>
    <row r="150" spans="6:14" ht="14.5">
      <c r="F150" s="306" t="s">
        <v>187</v>
      </c>
      <c r="G150" s="307">
        <f>24/290</f>
        <v>0.08275862068965517</v>
      </c>
      <c r="H150" s="308">
        <f>19/290</f>
        <v>0.06551724137931035</v>
      </c>
      <c r="I150" s="308">
        <v>0.08275862068965517</v>
      </c>
      <c r="J150" s="308">
        <f>24/290</f>
        <v>0.08275862068965517</v>
      </c>
      <c r="K150" s="309">
        <f>0.5*0.8*0.8*0.8*0.8</f>
        <v>0.20480000000000007</v>
      </c>
      <c r="L150" s="310">
        <v>0.089</v>
      </c>
      <c r="M150" s="310"/>
      <c r="N150" s="311"/>
    </row>
    <row r="151" spans="6:14" ht="14.5">
      <c r="F151" s="306" t="s">
        <v>188</v>
      </c>
      <c r="G151" s="312">
        <v>0.06</v>
      </c>
      <c r="H151" s="313">
        <v>0.06</v>
      </c>
      <c r="I151" s="313">
        <v>0.12</v>
      </c>
      <c r="J151" s="308">
        <f>2/46</f>
        <v>0.043478260869565216</v>
      </c>
      <c r="K151" s="309"/>
      <c r="L151" s="310"/>
      <c r="M151" s="310"/>
      <c r="N151" s="311"/>
    </row>
    <row r="152" spans="6:14" ht="14.5">
      <c r="F152" s="306" t="s">
        <v>190</v>
      </c>
      <c r="G152" s="307">
        <v>0.2</v>
      </c>
      <c r="H152" s="308">
        <v>0.094</v>
      </c>
      <c r="I152" s="308">
        <f>G152*172/392</f>
        <v>0.08775510204081632</v>
      </c>
      <c r="J152" s="308">
        <v>0.088</v>
      </c>
      <c r="K152" s="309">
        <f>0.2*0.25</f>
        <v>0.05</v>
      </c>
      <c r="L152" s="310">
        <v>0.033</v>
      </c>
      <c r="M152" s="310"/>
      <c r="N152" s="311"/>
    </row>
    <row r="153" spans="6:14" ht="14.5">
      <c r="F153" s="306" t="s">
        <v>191</v>
      </c>
      <c r="G153" s="307">
        <v>0.123</v>
      </c>
      <c r="H153" s="308">
        <v>0.056</v>
      </c>
      <c r="I153" s="308">
        <f>G153*69/158</f>
        <v>0.053715189873417724</v>
      </c>
      <c r="J153" s="308">
        <v>0.054</v>
      </c>
      <c r="K153" s="314">
        <f>K152</f>
        <v>0.05</v>
      </c>
      <c r="L153" s="310">
        <v>0.033</v>
      </c>
      <c r="M153" s="310"/>
      <c r="N153" s="311"/>
    </row>
    <row r="154" spans="6:14" ht="15">
      <c r="F154" s="315" t="s">
        <v>192</v>
      </c>
      <c r="G154" s="316">
        <v>22</v>
      </c>
      <c r="H154" s="317">
        <v>22</v>
      </c>
      <c r="I154" s="317">
        <v>22</v>
      </c>
      <c r="J154" s="317">
        <v>22</v>
      </c>
      <c r="K154" s="318"/>
      <c r="L154" s="319"/>
      <c r="M154" s="319"/>
      <c r="N154" s="311"/>
    </row>
    <row r="155" ht="15">
      <c r="N155" s="311"/>
    </row>
    <row r="156" spans="1:24" ht="27">
      <c r="A156" s="320" t="s">
        <v>193</v>
      </c>
      <c r="B156" s="320"/>
      <c r="C156" s="320"/>
      <c r="D156" s="320"/>
      <c r="E156" s="320"/>
      <c r="F156" s="143" t="s">
        <v>194</v>
      </c>
      <c r="G156" s="321">
        <f>G168/$X$156</f>
        <v>0.22988505747126436</v>
      </c>
      <c r="H156" s="321">
        <f>H168/$X$156</f>
        <v>0.22988505747126436</v>
      </c>
      <c r="I156" s="321">
        <f>I168/$X$156</f>
        <v>0.3649425287356322</v>
      </c>
      <c r="J156" s="321">
        <f>J168/$X$156</f>
        <v>0.29310344827586204</v>
      </c>
      <c r="K156" s="321">
        <f>K168/$X$156</f>
        <v>0.43103448275862066</v>
      </c>
      <c r="L156" s="322">
        <f>2.06/5.7</f>
        <v>0.36140350877192984</v>
      </c>
      <c r="M156" s="321"/>
      <c r="N156" s="311">
        <v>0.6</v>
      </c>
      <c r="O156" s="142" t="s">
        <v>195</v>
      </c>
      <c r="X156" s="142">
        <f>29*12</f>
        <v>348</v>
      </c>
    </row>
    <row r="157" spans="1:24" ht="15">
      <c r="A157" s="320" t="s">
        <v>196</v>
      </c>
      <c r="B157" s="320"/>
      <c r="C157" s="320"/>
      <c r="D157" s="320"/>
      <c r="E157" s="320"/>
      <c r="F157" s="143" t="s">
        <v>197</v>
      </c>
      <c r="G157" s="321">
        <f>G169/$X$158</f>
        <v>0.21511627906976744</v>
      </c>
      <c r="H157" s="321">
        <f>H169/$X$158</f>
        <v>0.12403100775193798</v>
      </c>
      <c r="I157" s="321">
        <f>I169/$X$158</f>
        <v>0.11676356589147287</v>
      </c>
      <c r="J157" s="321">
        <f>J169/$X$158</f>
        <v>0.0998062015503876</v>
      </c>
      <c r="K157" s="321">
        <f>K169/$X$158</f>
        <v>0.0436046511627907</v>
      </c>
      <c r="L157" s="322">
        <f>1.44/43.5</f>
        <v>0.03310344827586207</v>
      </c>
      <c r="M157" s="321"/>
      <c r="N157" s="311">
        <v>0.07</v>
      </c>
      <c r="O157" s="142" t="s">
        <v>198</v>
      </c>
      <c r="X157" s="142">
        <f>201*12</f>
        <v>2412</v>
      </c>
    </row>
    <row r="158" spans="6:24" ht="15">
      <c r="F158" s="143" t="s">
        <v>199</v>
      </c>
      <c r="G158" s="321">
        <f>G170/$X$157</f>
        <v>0.21724709784411278</v>
      </c>
      <c r="H158" s="321">
        <f>H170/$X$157</f>
        <v>0.13930348258706468</v>
      </c>
      <c r="I158" s="321">
        <f>I170/$X$157</f>
        <v>0.15257048092868988</v>
      </c>
      <c r="J158" s="321">
        <f>J170/$X$157</f>
        <v>0.12769485903814262</v>
      </c>
      <c r="K158" s="321">
        <f>K170/$X$157</f>
        <v>0.09950248756218906</v>
      </c>
      <c r="L158" s="322">
        <f>3.5/49.2</f>
        <v>0.07113821138211382</v>
      </c>
      <c r="M158" s="321">
        <f>492/$X$157</f>
        <v>0.20398009950248755</v>
      </c>
      <c r="N158" s="311"/>
      <c r="O158" s="142" t="s">
        <v>200</v>
      </c>
      <c r="X158" s="142">
        <f>X157-X156</f>
        <v>2064</v>
      </c>
    </row>
    <row r="159" spans="1:15" ht="27">
      <c r="A159" s="320" t="s">
        <v>201</v>
      </c>
      <c r="B159" s="320"/>
      <c r="C159" s="320"/>
      <c r="D159" s="320"/>
      <c r="E159" s="320"/>
      <c r="F159" s="143" t="s">
        <v>202</v>
      </c>
      <c r="G159" s="142"/>
      <c r="H159" s="142"/>
      <c r="I159" s="142"/>
      <c r="J159" s="142"/>
      <c r="K159" s="323" t="s">
        <v>203</v>
      </c>
      <c r="L159" s="324">
        <v>0.3</v>
      </c>
      <c r="N159" s="311">
        <v>20</v>
      </c>
      <c r="O159" s="251"/>
    </row>
    <row r="160" spans="1:16" ht="14">
      <c r="A160" s="320"/>
      <c r="B160" s="320"/>
      <c r="C160" s="320"/>
      <c r="D160" s="320"/>
      <c r="E160" s="320"/>
      <c r="F160" s="143" t="s">
        <v>204</v>
      </c>
      <c r="G160" s="142"/>
      <c r="H160" s="142"/>
      <c r="I160" s="142">
        <v>20</v>
      </c>
      <c r="J160" s="142">
        <v>20</v>
      </c>
      <c r="K160" s="251">
        <v>0.25</v>
      </c>
      <c r="L160" s="324">
        <v>0.25</v>
      </c>
      <c r="N160" s="311">
        <v>25</v>
      </c>
      <c r="O160" s="251">
        <v>0.3</v>
      </c>
      <c r="P160" s="142" t="s">
        <v>205</v>
      </c>
    </row>
    <row r="161" spans="6:16" ht="73">
      <c r="F161" s="301" t="s">
        <v>207</v>
      </c>
      <c r="G161" s="302" t="s">
        <v>174</v>
      </c>
      <c r="H161" s="303" t="s">
        <v>175</v>
      </c>
      <c r="I161" s="303" t="s">
        <v>176</v>
      </c>
      <c r="J161" s="303" t="s">
        <v>177</v>
      </c>
      <c r="K161" s="304" t="s">
        <v>178</v>
      </c>
      <c r="L161" s="304" t="s">
        <v>208</v>
      </c>
      <c r="M161" s="304" t="s">
        <v>180</v>
      </c>
      <c r="N161" s="325" t="s">
        <v>209</v>
      </c>
      <c r="O161" s="305" t="s">
        <v>181</v>
      </c>
      <c r="P161" s="325"/>
    </row>
    <row r="162" spans="6:13" ht="14.5">
      <c r="F162" s="306" t="s">
        <v>183</v>
      </c>
      <c r="G162" s="307"/>
      <c r="H162" s="308"/>
      <c r="I162" s="308"/>
      <c r="J162" s="308"/>
      <c r="K162" s="309"/>
      <c r="L162" s="310"/>
      <c r="M162" s="310"/>
    </row>
    <row r="163" spans="6:13" ht="14.5">
      <c r="F163" s="306" t="s">
        <v>185</v>
      </c>
      <c r="G163" s="307"/>
      <c r="H163" s="308"/>
      <c r="I163" s="308"/>
      <c r="J163" s="308"/>
      <c r="K163" s="309"/>
      <c r="L163" s="310"/>
      <c r="M163" s="310"/>
    </row>
    <row r="164" spans="6:13" ht="14.5">
      <c r="F164" s="306" t="s">
        <v>187</v>
      </c>
      <c r="G164" s="307"/>
      <c r="H164" s="308"/>
      <c r="I164" s="308"/>
      <c r="J164" s="308"/>
      <c r="K164" s="309"/>
      <c r="L164" s="310"/>
      <c r="M164" s="310"/>
    </row>
    <row r="165" spans="6:13" ht="14.5">
      <c r="F165" s="306" t="s">
        <v>188</v>
      </c>
      <c r="G165" s="312"/>
      <c r="H165" s="313"/>
      <c r="I165" s="313"/>
      <c r="J165" s="308"/>
      <c r="K165" s="309"/>
      <c r="L165" s="310"/>
      <c r="M165" s="310"/>
    </row>
    <row r="166" spans="6:13" ht="14.5">
      <c r="F166" s="306" t="s">
        <v>190</v>
      </c>
      <c r="G166" s="307">
        <v>286</v>
      </c>
      <c r="H166" s="308">
        <v>185</v>
      </c>
      <c r="I166" s="308">
        <v>172</v>
      </c>
      <c r="J166" s="308">
        <v>134</v>
      </c>
      <c r="K166" s="309"/>
      <c r="L166" s="310"/>
      <c r="M166" s="310"/>
    </row>
    <row r="167" spans="6:13" ht="14.5">
      <c r="F167" s="306" t="s">
        <v>191</v>
      </c>
      <c r="G167" s="307">
        <v>158</v>
      </c>
      <c r="H167" s="308">
        <v>71</v>
      </c>
      <c r="I167" s="308">
        <v>69</v>
      </c>
      <c r="J167" s="308">
        <v>72</v>
      </c>
      <c r="K167" s="314"/>
      <c r="L167" s="310"/>
      <c r="M167" s="310"/>
    </row>
    <row r="168" spans="6:16" ht="15">
      <c r="F168" s="143" t="s">
        <v>214</v>
      </c>
      <c r="G168" s="142">
        <v>80</v>
      </c>
      <c r="H168" s="142">
        <v>80</v>
      </c>
      <c r="I168" s="142">
        <v>127</v>
      </c>
      <c r="J168" s="326">
        <v>102</v>
      </c>
      <c r="K168" s="142">
        <v>150</v>
      </c>
      <c r="L168" s="142"/>
      <c r="M168" s="142"/>
      <c r="N168" s="142">
        <v>160</v>
      </c>
      <c r="O168" s="311">
        <v>209</v>
      </c>
      <c r="P168" s="142">
        <v>80</v>
      </c>
    </row>
    <row r="169" spans="6:16" ht="15">
      <c r="F169" s="143" t="s">
        <v>215</v>
      </c>
      <c r="G169" s="321">
        <f>G166+G167</f>
        <v>444</v>
      </c>
      <c r="H169" s="142">
        <f aca="true" t="shared" si="73" ref="H169:J169">H166+H167</f>
        <v>256</v>
      </c>
      <c r="I169" s="142">
        <f t="shared" si="73"/>
        <v>241</v>
      </c>
      <c r="J169" s="142">
        <f t="shared" si="73"/>
        <v>206</v>
      </c>
      <c r="K169" s="142">
        <v>90</v>
      </c>
      <c r="L169" s="142"/>
      <c r="M169" s="142"/>
      <c r="N169" s="142">
        <v>90</v>
      </c>
      <c r="O169" s="311">
        <v>141</v>
      </c>
      <c r="P169" s="142">
        <v>440</v>
      </c>
    </row>
    <row r="170" spans="6:16" ht="15">
      <c r="F170" s="143" t="s">
        <v>104</v>
      </c>
      <c r="G170" s="142">
        <f>SUM(G168:G169)</f>
        <v>524</v>
      </c>
      <c r="H170" s="142">
        <f>SUM(H168:H169)</f>
        <v>336</v>
      </c>
      <c r="I170" s="142">
        <f>SUM(I168:I169)</f>
        <v>368</v>
      </c>
      <c r="J170" s="142">
        <f>SUM(J168:J169)</f>
        <v>308</v>
      </c>
      <c r="K170" s="142">
        <f>SUM(K168:K169)</f>
        <v>240</v>
      </c>
      <c r="L170" s="142">
        <v>250</v>
      </c>
      <c r="M170" s="142">
        <v>492</v>
      </c>
      <c r="N170" s="142">
        <f>SUM(N168:N169)</f>
        <v>250</v>
      </c>
      <c r="O170" s="311">
        <f>SUM(O168:O169)</f>
        <v>350</v>
      </c>
      <c r="P170" s="142">
        <f>SUM(P168:P169)</f>
        <v>520</v>
      </c>
    </row>
    <row r="172" ht="15">
      <c r="O172" s="142">
        <v>2015</v>
      </c>
    </row>
    <row r="173" spans="1:15" ht="15">
      <c r="A173" s="143" t="s">
        <v>225</v>
      </c>
      <c r="O173" s="142">
        <v>201</v>
      </c>
    </row>
    <row r="174" spans="1:15" ht="15">
      <c r="A174" s="143" t="s">
        <v>226</v>
      </c>
      <c r="O174" s="142">
        <v>86</v>
      </c>
    </row>
    <row r="175" spans="13:15" ht="15">
      <c r="M175" s="142">
        <v>312</v>
      </c>
      <c r="O175" s="142">
        <f>SUM(O173:O174)</f>
        <v>287</v>
      </c>
    </row>
    <row r="176" ht="15">
      <c r="A176" s="143" t="s">
        <v>227</v>
      </c>
    </row>
    <row r="177" spans="1:17" ht="15">
      <c r="A177" s="143" t="s">
        <v>228</v>
      </c>
      <c r="F177" s="143">
        <f>24*1.55</f>
        <v>37.2</v>
      </c>
      <c r="M177" s="142">
        <f>M170/M175</f>
        <v>1.5769230769230769</v>
      </c>
      <c r="O177" s="142">
        <f>O170/O175</f>
        <v>1.2195121951219512</v>
      </c>
      <c r="P177" s="142">
        <f>POWER(1.13,6)</f>
        <v>2.0819517526089983</v>
      </c>
      <c r="Q177" s="251">
        <v>0.05</v>
      </c>
    </row>
    <row r="178" ht="15">
      <c r="M178" s="251">
        <v>0.12</v>
      </c>
    </row>
    <row r="179" spans="1:6" ht="15">
      <c r="A179" s="143" t="s">
        <v>229</v>
      </c>
      <c r="F179" s="143">
        <f>27/0.65</f>
        <v>41.53846153846154</v>
      </c>
    </row>
    <row r="180" spans="1:15" ht="15">
      <c r="A180" s="143" t="s">
        <v>230</v>
      </c>
      <c r="F180" s="143">
        <f>F179/F177</f>
        <v>1.1166253101736971</v>
      </c>
      <c r="O180" s="142">
        <v>2025</v>
      </c>
    </row>
    <row r="181" ht="15">
      <c r="O181" s="142">
        <v>115</v>
      </c>
    </row>
    <row r="182" ht="15">
      <c r="O182" s="142">
        <v>360</v>
      </c>
    </row>
    <row r="183" ht="15">
      <c r="O183" s="142">
        <f>SUM(O181:O182)</f>
        <v>475</v>
      </c>
    </row>
    <row r="185" ht="15">
      <c r="O185" s="142">
        <f>O183/O170</f>
        <v>1.3571428571428572</v>
      </c>
    </row>
    <row r="188" spans="1:15" ht="18">
      <c r="A188" s="300" t="s">
        <v>231</v>
      </c>
      <c r="B188" s="300"/>
      <c r="C188" s="300"/>
      <c r="D188" s="300"/>
      <c r="E188" s="300"/>
      <c r="G188" s="143" t="s">
        <v>232</v>
      </c>
      <c r="H188" s="143" t="s">
        <v>209</v>
      </c>
      <c r="I188" s="143" t="s">
        <v>176</v>
      </c>
      <c r="J188" s="143" t="s">
        <v>177</v>
      </c>
      <c r="K188" s="143" t="s">
        <v>208</v>
      </c>
      <c r="L188" s="143" t="s">
        <v>233</v>
      </c>
      <c r="M188" s="143" t="s">
        <v>89</v>
      </c>
      <c r="N188" s="143" t="s">
        <v>234</v>
      </c>
      <c r="O188" s="311" t="s">
        <v>181</v>
      </c>
    </row>
    <row r="189" spans="6:15" ht="73">
      <c r="F189" s="301" t="s">
        <v>207</v>
      </c>
      <c r="G189" s="142">
        <v>420</v>
      </c>
      <c r="H189" s="142">
        <v>200</v>
      </c>
      <c r="I189" s="142">
        <v>208</v>
      </c>
      <c r="J189" s="142">
        <v>288</v>
      </c>
      <c r="K189" s="142">
        <v>230</v>
      </c>
      <c r="L189" s="142">
        <v>306</v>
      </c>
      <c r="M189" s="142">
        <v>230</v>
      </c>
      <c r="N189" s="142"/>
      <c r="O189" s="311">
        <v>420</v>
      </c>
    </row>
    <row r="190" spans="6:15" ht="14.5">
      <c r="F190" s="327" t="s">
        <v>235</v>
      </c>
      <c r="G190" s="142"/>
      <c r="H190" s="142"/>
      <c r="I190" s="142"/>
      <c r="J190" s="142"/>
      <c r="K190" s="142"/>
      <c r="L190" s="142"/>
      <c r="M190" s="142"/>
      <c r="N190" s="142"/>
      <c r="O190" s="311">
        <f>O189/14100</f>
        <v>0.029787234042553193</v>
      </c>
    </row>
    <row r="191" spans="6:15" ht="29">
      <c r="F191" s="327" t="s">
        <v>236</v>
      </c>
      <c r="G191" s="142"/>
      <c r="H191" s="142"/>
      <c r="I191" s="142"/>
      <c r="J191" s="142"/>
      <c r="K191" s="142"/>
      <c r="L191" s="142"/>
      <c r="M191" s="142"/>
      <c r="N191" s="142">
        <v>17</v>
      </c>
      <c r="O191" s="311">
        <v>17</v>
      </c>
    </row>
    <row r="192" spans="6:15" ht="29">
      <c r="F192" s="327" t="s">
        <v>237</v>
      </c>
      <c r="G192" s="142"/>
      <c r="H192" s="142"/>
      <c r="I192" s="142"/>
      <c r="J192" s="142">
        <v>20</v>
      </c>
      <c r="K192" s="142"/>
      <c r="L192" s="142"/>
      <c r="M192" s="142"/>
      <c r="N192" s="142"/>
      <c r="O192" s="311">
        <v>17</v>
      </c>
    </row>
    <row r="193" spans="6:15" ht="14.5">
      <c r="F193" s="328" t="s">
        <v>238</v>
      </c>
      <c r="G193" s="142">
        <v>10</v>
      </c>
      <c r="H193" s="142">
        <v>0</v>
      </c>
      <c r="I193" s="142">
        <v>13</v>
      </c>
      <c r="J193" s="142">
        <v>4</v>
      </c>
      <c r="K193" s="142"/>
      <c r="L193" s="142">
        <v>7</v>
      </c>
      <c r="M193" s="142">
        <v>0</v>
      </c>
      <c r="N193" s="142">
        <v>2</v>
      </c>
      <c r="O193" s="311"/>
    </row>
    <row r="194" ht="15">
      <c r="O194" s="311"/>
    </row>
    <row r="195" ht="15">
      <c r="O195" s="311"/>
    </row>
    <row r="196" ht="15">
      <c r="O196" s="142">
        <f>429/208</f>
        <v>2.0625</v>
      </c>
    </row>
    <row r="197" ht="14">
      <c r="A197" s="143" t="s">
        <v>239</v>
      </c>
    </row>
    <row r="198" spans="1:23" ht="67.5">
      <c r="A198" s="329" t="s">
        <v>240</v>
      </c>
      <c r="B198" s="329"/>
      <c r="C198" s="329"/>
      <c r="D198" s="329"/>
      <c r="E198" s="329"/>
      <c r="F198" s="330">
        <v>2013</v>
      </c>
      <c r="G198" s="330">
        <v>2014</v>
      </c>
      <c r="H198" s="330">
        <v>2015</v>
      </c>
      <c r="I198" s="331">
        <v>2016</v>
      </c>
      <c r="J198" s="331">
        <v>2017</v>
      </c>
      <c r="K198" s="331">
        <v>2018</v>
      </c>
      <c r="L198" s="331">
        <v>2019</v>
      </c>
      <c r="M198" s="331">
        <v>2020</v>
      </c>
      <c r="N198" s="331">
        <v>2021</v>
      </c>
      <c r="O198" s="331">
        <v>2022</v>
      </c>
      <c r="P198" s="331">
        <v>2023</v>
      </c>
      <c r="Q198" s="331">
        <v>2024</v>
      </c>
      <c r="R198" s="332">
        <v>2025</v>
      </c>
      <c r="S198" s="150"/>
      <c r="T198" s="150"/>
      <c r="U198" s="150"/>
      <c r="V198" s="150"/>
      <c r="W198" s="150"/>
    </row>
    <row r="199" spans="1:23" ht="15">
      <c r="A199" s="143" t="s">
        <v>241</v>
      </c>
      <c r="F199" s="334">
        <v>2700</v>
      </c>
      <c r="G199" s="334">
        <v>3400</v>
      </c>
      <c r="H199" s="334">
        <v>4700</v>
      </c>
      <c r="I199" s="334">
        <v>6800</v>
      </c>
      <c r="J199" s="333">
        <v>9100</v>
      </c>
      <c r="K199" s="334">
        <v>11600</v>
      </c>
      <c r="L199" s="334">
        <v>14100</v>
      </c>
      <c r="M199" s="334">
        <v>17100</v>
      </c>
      <c r="N199" s="334">
        <v>20600</v>
      </c>
      <c r="O199" s="335">
        <f>O200+O201</f>
        <v>25204.1</v>
      </c>
      <c r="P199" s="335">
        <f aca="true" t="shared" si="74" ref="P199:R199">P200+P201</f>
        <v>30984.563000000002</v>
      </c>
      <c r="Q199" s="335">
        <f t="shared" si="74"/>
        <v>38267.66519</v>
      </c>
      <c r="R199" s="335">
        <f t="shared" si="74"/>
        <v>47474.1033647</v>
      </c>
      <c r="S199" s="335"/>
      <c r="T199" s="335"/>
      <c r="U199" s="335"/>
      <c r="V199" s="335"/>
      <c r="W199" s="335"/>
    </row>
    <row r="200" spans="1:23" ht="14.5">
      <c r="A200" s="143" t="s">
        <v>243</v>
      </c>
      <c r="F200" s="208">
        <f aca="true" t="shared" si="75" ref="F200:G200">F202*F199</f>
        <v>698.0325120000001</v>
      </c>
      <c r="G200" s="208">
        <f t="shared" si="75"/>
        <v>1008.032</v>
      </c>
      <c r="H200" s="142">
        <f>H202*H199</f>
        <v>1598.0000000000002</v>
      </c>
      <c r="I200" s="208">
        <f>I202*I199</f>
        <v>2652</v>
      </c>
      <c r="J200" s="208">
        <f aca="true" t="shared" si="76" ref="J200:M200">J202*J199</f>
        <v>3800.9790000000003</v>
      </c>
      <c r="K200" s="208">
        <f t="shared" si="76"/>
        <v>5189.213484</v>
      </c>
      <c r="L200" s="208">
        <f t="shared" si="76"/>
        <v>6755.416529588999</v>
      </c>
      <c r="M200" s="208">
        <f t="shared" si="76"/>
        <v>8774.423678336587</v>
      </c>
      <c r="N200" s="208">
        <f>N202*N199</f>
        <v>11330.000000000002</v>
      </c>
      <c r="O200" s="263">
        <f>N200*1.3</f>
        <v>14729.000000000004</v>
      </c>
      <c r="P200" s="263">
        <f aca="true" t="shared" si="77" ref="P200:R200">O200*1.3</f>
        <v>19147.700000000004</v>
      </c>
      <c r="Q200" s="263">
        <f t="shared" si="77"/>
        <v>24892.010000000006</v>
      </c>
      <c r="R200" s="336">
        <f t="shared" si="77"/>
        <v>32359.61300000001</v>
      </c>
      <c r="S200" s="263"/>
      <c r="T200" s="263"/>
      <c r="U200" s="263"/>
      <c r="V200" s="263"/>
      <c r="W200" s="263"/>
    </row>
    <row r="201" spans="1:23" ht="14.5">
      <c r="A201" s="143" t="s">
        <v>244</v>
      </c>
      <c r="F201" s="208">
        <f aca="true" t="shared" si="78" ref="F201:G201">F199-F200</f>
        <v>2001.9674879999998</v>
      </c>
      <c r="G201" s="208">
        <f t="shared" si="78"/>
        <v>2391.968</v>
      </c>
      <c r="H201" s="142">
        <f>H199-H200</f>
        <v>3102</v>
      </c>
      <c r="I201" s="208">
        <f>I199-I200</f>
        <v>4148</v>
      </c>
      <c r="J201" s="208">
        <f aca="true" t="shared" si="79" ref="J201:N201">J199-J200</f>
        <v>5299.021</v>
      </c>
      <c r="K201" s="208">
        <f t="shared" si="79"/>
        <v>6410.786516</v>
      </c>
      <c r="L201" s="208">
        <f t="shared" si="79"/>
        <v>7344.583470411001</v>
      </c>
      <c r="M201" s="208">
        <f t="shared" si="79"/>
        <v>8325.576321663413</v>
      </c>
      <c r="N201" s="208">
        <f t="shared" si="79"/>
        <v>9269.999999999998</v>
      </c>
      <c r="O201" s="263">
        <f>N201*1.13</f>
        <v>10475.099999999997</v>
      </c>
      <c r="P201" s="263">
        <f aca="true" t="shared" si="80" ref="P201:R201">O201*1.13</f>
        <v>11836.862999999996</v>
      </c>
      <c r="Q201" s="263">
        <f t="shared" si="80"/>
        <v>13375.655189999994</v>
      </c>
      <c r="R201" s="336">
        <f t="shared" si="80"/>
        <v>15114.490364699992</v>
      </c>
      <c r="S201" s="263"/>
      <c r="T201" s="263"/>
      <c r="U201" s="263"/>
      <c r="V201" s="263"/>
      <c r="W201" s="263"/>
    </row>
    <row r="202" spans="1:23" ht="15">
      <c r="A202" s="143" t="s">
        <v>245</v>
      </c>
      <c r="F202" s="337">
        <f>G202*0.872</f>
        <v>0.25853056</v>
      </c>
      <c r="G202" s="337">
        <f>H202*0.872</f>
        <v>0.29648</v>
      </c>
      <c r="H202" s="338">
        <v>0.34</v>
      </c>
      <c r="I202" s="338">
        <v>0.39</v>
      </c>
      <c r="J202" s="337">
        <f>I202*1.071</f>
        <v>0.41769</v>
      </c>
      <c r="K202" s="337">
        <f aca="true" t="shared" si="81" ref="K202:M202">J202*1.071</f>
        <v>0.44734598999999997</v>
      </c>
      <c r="L202" s="337">
        <f t="shared" si="81"/>
        <v>0.47910755528999993</v>
      </c>
      <c r="M202" s="337">
        <f t="shared" si="81"/>
        <v>0.5131241917155899</v>
      </c>
      <c r="N202" s="337">
        <v>0.55</v>
      </c>
      <c r="O202" s="339">
        <f>O200/O199</f>
        <v>0.5843890478136495</v>
      </c>
      <c r="P202" s="339">
        <f>P200/P199</f>
        <v>0.6179754737867371</v>
      </c>
      <c r="Q202" s="339">
        <f>Q200/Q199</f>
        <v>0.6504710929295137</v>
      </c>
      <c r="R202" s="339">
        <f>R200/R199</f>
        <v>0.6816266281305152</v>
      </c>
      <c r="S202" s="339"/>
      <c r="T202" s="339"/>
      <c r="U202" s="339"/>
      <c r="V202" s="339"/>
      <c r="W202" s="339"/>
    </row>
    <row r="203" spans="1:13" ht="15">
      <c r="A203" s="143" t="s">
        <v>246</v>
      </c>
      <c r="F203" s="142"/>
      <c r="G203" s="142"/>
      <c r="H203" s="142"/>
      <c r="I203" s="142"/>
      <c r="J203" s="142"/>
      <c r="K203" s="142"/>
      <c r="L203" s="142"/>
      <c r="M203" s="142"/>
    </row>
    <row r="204" spans="1:14" ht="15">
      <c r="A204" s="143" t="s">
        <v>247</v>
      </c>
      <c r="F204" s="340">
        <f aca="true" t="shared" si="82" ref="F204:J204">F205/F200</f>
        <v>0.027453119465315312</v>
      </c>
      <c r="G204" s="340">
        <f t="shared" si="82"/>
        <v>0.02359200293123551</v>
      </c>
      <c r="H204" s="340">
        <f t="shared" si="82"/>
        <v>0.018468606963945543</v>
      </c>
      <c r="I204" s="340">
        <f t="shared" si="82"/>
        <v>0.013810492799821179</v>
      </c>
      <c r="J204" s="340">
        <f t="shared" si="82"/>
        <v>0.011958012603926798</v>
      </c>
      <c r="K204" s="340">
        <f>K205/K200</f>
        <v>0.010869879273109706</v>
      </c>
      <c r="L204" s="340">
        <f>L205/L200</f>
        <v>0.010362055351198132</v>
      </c>
      <c r="M204" s="340"/>
      <c r="N204" s="340"/>
    </row>
    <row r="205" spans="1:13" ht="15">
      <c r="A205" s="143" t="s">
        <v>248</v>
      </c>
      <c r="F205" s="208">
        <f aca="true" t="shared" si="83" ref="F205:J205">G205/1.241</f>
        <v>19.163169942610146</v>
      </c>
      <c r="G205" s="208">
        <f t="shared" si="83"/>
        <v>23.781493898779193</v>
      </c>
      <c r="H205" s="208">
        <f t="shared" si="83"/>
        <v>29.512833928384982</v>
      </c>
      <c r="I205" s="208">
        <f>J205/1.241</f>
        <v>36.625426905125764</v>
      </c>
      <c r="J205" s="208">
        <f t="shared" si="83"/>
        <v>45.45215478926108</v>
      </c>
      <c r="K205" s="208">
        <f>L205/1.241</f>
        <v>56.406124093473004</v>
      </c>
      <c r="L205" s="208">
        <v>70</v>
      </c>
      <c r="M205" s="142"/>
    </row>
    <row r="206" spans="1:13" ht="15">
      <c r="A206" s="143" t="s">
        <v>249</v>
      </c>
      <c r="F206" s="208"/>
      <c r="G206" s="208"/>
      <c r="H206" s="208"/>
      <c r="I206" s="208"/>
      <c r="J206" s="208"/>
      <c r="K206" s="208"/>
      <c r="L206" s="208"/>
      <c r="M206" s="142"/>
    </row>
    <row r="207" spans="1:14" ht="15">
      <c r="A207" s="143" t="s">
        <v>250</v>
      </c>
      <c r="F207" s="340">
        <f aca="true" t="shared" si="84" ref="F207:K207">F208/F201</f>
        <v>0.11780252749908288</v>
      </c>
      <c r="G207" s="340">
        <f t="shared" si="84"/>
        <v>0.10293553513308741</v>
      </c>
      <c r="H207" s="340">
        <f t="shared" si="84"/>
        <v>0.08300682336286752</v>
      </c>
      <c r="I207" s="340">
        <f t="shared" si="84"/>
        <v>0.06711055281940073</v>
      </c>
      <c r="J207" s="340">
        <f t="shared" si="84"/>
        <v>0.05747247372877724</v>
      </c>
      <c r="K207" s="340">
        <f t="shared" si="84"/>
        <v>0.05125640591625138</v>
      </c>
      <c r="L207" s="340">
        <f>L208/L201</f>
        <v>0.04765416601363972</v>
      </c>
      <c r="M207" s="142"/>
      <c r="N207" s="340"/>
    </row>
    <row r="208" spans="1:13" ht="15">
      <c r="A208" s="143" t="s">
        <v>251</v>
      </c>
      <c r="F208" s="341">
        <f>F218-F205</f>
        <v>235.83683005738985</v>
      </c>
      <c r="G208" s="208">
        <f aca="true" t="shared" si="85" ref="G208:L208">G218-G205</f>
        <v>246.2185061012208</v>
      </c>
      <c r="H208" s="208">
        <f t="shared" si="85"/>
        <v>257.48716607161504</v>
      </c>
      <c r="I208" s="208">
        <f t="shared" si="85"/>
        <v>278.3745730948742</v>
      </c>
      <c r="J208" s="208">
        <f t="shared" si="85"/>
        <v>304.5478452107389</v>
      </c>
      <c r="K208" s="208">
        <f t="shared" si="85"/>
        <v>328.593875906527</v>
      </c>
      <c r="L208" s="208">
        <f t="shared" si="85"/>
        <v>350</v>
      </c>
      <c r="M208" s="142"/>
    </row>
    <row r="209" spans="6:13" ht="15">
      <c r="F209" s="142"/>
      <c r="G209" s="142"/>
      <c r="H209" s="142"/>
      <c r="I209" s="142"/>
      <c r="J209" s="142"/>
      <c r="K209" s="142"/>
      <c r="L209" s="142"/>
      <c r="M209" s="142"/>
    </row>
    <row r="210" spans="6:13" ht="15">
      <c r="F210" s="142"/>
      <c r="G210" s="142"/>
      <c r="H210" s="142"/>
      <c r="I210" s="142"/>
      <c r="J210" s="142"/>
      <c r="K210" s="142"/>
      <c r="L210" s="142"/>
      <c r="M210" s="142"/>
    </row>
    <row r="211" spans="6:13" ht="15">
      <c r="F211" s="142"/>
      <c r="G211" s="142"/>
      <c r="H211" s="142"/>
      <c r="I211" s="142"/>
      <c r="J211" s="142"/>
      <c r="K211" s="142"/>
      <c r="L211" s="142"/>
      <c r="M211" s="142"/>
    </row>
    <row r="213" ht="12.75"/>
    <row r="214" ht="12.75"/>
    <row r="215" ht="12.75"/>
    <row r="216" spans="6:13" ht="15">
      <c r="F216" s="331">
        <v>2013</v>
      </c>
      <c r="G216" s="331">
        <v>2014</v>
      </c>
      <c r="H216" s="331">
        <v>2015</v>
      </c>
      <c r="I216" s="331">
        <v>2016</v>
      </c>
      <c r="J216" s="331">
        <v>2017</v>
      </c>
      <c r="K216" s="331">
        <v>2018</v>
      </c>
      <c r="L216" s="331">
        <v>2019</v>
      </c>
      <c r="M216" s="142" t="s">
        <v>252</v>
      </c>
    </row>
    <row r="217" ht="12.75"/>
    <row r="218" spans="1:14" ht="12.75">
      <c r="A218" s="143" t="s">
        <v>253</v>
      </c>
      <c r="F218" s="142">
        <v>255</v>
      </c>
      <c r="G218" s="142">
        <v>270</v>
      </c>
      <c r="H218" s="142">
        <v>287</v>
      </c>
      <c r="I218" s="142">
        <v>315</v>
      </c>
      <c r="J218" s="142">
        <v>350</v>
      </c>
      <c r="K218" s="142">
        <v>385</v>
      </c>
      <c r="L218" s="142">
        <v>420</v>
      </c>
      <c r="M218" s="251">
        <v>0.09</v>
      </c>
      <c r="N218" s="142">
        <f>POWER(1.09,5)</f>
        <v>1.5386239549000005</v>
      </c>
    </row>
    <row r="219" spans="1:12" ht="12.75">
      <c r="A219" s="143" t="s">
        <v>254</v>
      </c>
      <c r="F219" s="321">
        <f aca="true" t="shared" si="86" ref="F219:L219">F218/F136</f>
        <v>0.09444444444444444</v>
      </c>
      <c r="G219" s="321">
        <f t="shared" si="86"/>
        <v>0.07941176470588235</v>
      </c>
      <c r="H219" s="321">
        <f t="shared" si="86"/>
        <v>0.06106382978723404</v>
      </c>
      <c r="I219" s="321">
        <f t="shared" si="86"/>
        <v>0.04632352941176471</v>
      </c>
      <c r="J219" s="321">
        <f t="shared" si="86"/>
        <v>0.038461538461538464</v>
      </c>
      <c r="K219" s="321">
        <f t="shared" si="86"/>
        <v>0.03318965517241379</v>
      </c>
      <c r="L219" s="321">
        <f t="shared" si="86"/>
        <v>0.029787234042553193</v>
      </c>
    </row>
    <row r="220" spans="1:12" ht="12.75">
      <c r="A220" s="143" t="s">
        <v>255</v>
      </c>
      <c r="F220" s="142"/>
      <c r="G220" s="142">
        <f>G219/F219</f>
        <v>0.8408304498269896</v>
      </c>
      <c r="H220" s="142">
        <f aca="true" t="shared" si="87" ref="H220:L220">H219/G219</f>
        <v>0.7689519306540583</v>
      </c>
      <c r="I220" s="142">
        <f t="shared" si="87"/>
        <v>0.7586083213773315</v>
      </c>
      <c r="J220" s="142">
        <f>J219/I219</f>
        <v>0.8302808302808303</v>
      </c>
      <c r="K220" s="142">
        <f t="shared" si="87"/>
        <v>0.8629310344827585</v>
      </c>
      <c r="L220" s="142">
        <f t="shared" si="87"/>
        <v>0.8974854932301742</v>
      </c>
    </row>
    <row r="221" spans="1:12" ht="12.75">
      <c r="A221" s="143" t="s">
        <v>256</v>
      </c>
      <c r="F221" s="142"/>
      <c r="G221" s="142"/>
      <c r="H221" s="142"/>
      <c r="I221" s="142"/>
      <c r="J221" s="142"/>
      <c r="K221" s="142"/>
      <c r="L221" s="142">
        <f>L219/H219</f>
        <v>0.48780487804878053</v>
      </c>
    </row>
    <row r="222" ht="12.75">
      <c r="A222" s="143">
        <f>POWER(0.83,4)</f>
        <v>0.4745832099999999</v>
      </c>
    </row>
    <row r="223" ht="12.75"/>
    <row r="224" ht="12.75"/>
    <row r="225" ht="12.75"/>
    <row r="226" ht="12.75"/>
    <row r="227" ht="12.75"/>
    <row r="228" spans="1:9" ht="12.75">
      <c r="A228" s="143" t="s">
        <v>257</v>
      </c>
      <c r="F228" s="143">
        <v>2018</v>
      </c>
      <c r="G228" s="143">
        <v>2019</v>
      </c>
      <c r="H228" s="143">
        <v>2023</v>
      </c>
      <c r="I228" s="143" t="s">
        <v>258</v>
      </c>
    </row>
    <row r="229" spans="6:10" ht="12.75">
      <c r="F229" s="142">
        <v>161</v>
      </c>
      <c r="G229" s="142">
        <v>178</v>
      </c>
      <c r="H229" s="142">
        <v>267</v>
      </c>
      <c r="I229" s="342">
        <v>0.105</v>
      </c>
      <c r="J229" s="143">
        <f>POWER(1.07,5)</f>
        <v>1.4025517307000002</v>
      </c>
    </row>
    <row r="230" ht="12.75"/>
    <row r="231" ht="12.75"/>
    <row r="232" spans="1:9" ht="12.75">
      <c r="A232" s="143" t="s">
        <v>259</v>
      </c>
      <c r="F232" s="208">
        <v>78</v>
      </c>
      <c r="G232" s="208">
        <f>1.05*F232</f>
        <v>81.9</v>
      </c>
      <c r="H232" s="208">
        <f>1.05*1.05*1.05*1.05*G232</f>
        <v>99.54996187500002</v>
      </c>
      <c r="I232" s="251">
        <v>0.05</v>
      </c>
    </row>
    <row r="233" spans="6:15" ht="12.75">
      <c r="F233" s="341"/>
      <c r="G233" s="341"/>
      <c r="H233" s="341"/>
      <c r="O233" s="142" t="s">
        <v>260</v>
      </c>
    </row>
    <row r="234" spans="1:9" ht="12.75">
      <c r="A234" s="143" t="s">
        <v>261</v>
      </c>
      <c r="F234" s="208">
        <v>73</v>
      </c>
      <c r="G234" s="208">
        <v>73</v>
      </c>
      <c r="H234" s="208">
        <v>73</v>
      </c>
      <c r="I234" s="251">
        <v>0</v>
      </c>
    </row>
    <row r="235" spans="6:9" ht="12.75">
      <c r="F235" s="208"/>
      <c r="G235" s="208"/>
      <c r="H235" s="208"/>
      <c r="I235" s="142"/>
    </row>
    <row r="236" spans="1:9" ht="12.75">
      <c r="A236" s="143" t="s">
        <v>262</v>
      </c>
      <c r="F236" s="343">
        <f>G236/1.08</f>
        <v>74.07407407407408</v>
      </c>
      <c r="G236" s="344">
        <v>80</v>
      </c>
      <c r="H236" s="343">
        <f>1.08*1.08*1.08*1.08*G236</f>
        <v>108.83911680000003</v>
      </c>
      <c r="I236" s="345">
        <v>0.08</v>
      </c>
    </row>
    <row r="237" spans="6:9" ht="12.75">
      <c r="F237" s="208"/>
      <c r="G237" s="208"/>
      <c r="H237" s="208"/>
      <c r="I237" s="142"/>
    </row>
    <row r="238" spans="1:9" ht="12.75">
      <c r="A238" s="143" t="s">
        <v>104</v>
      </c>
      <c r="F238" s="208">
        <f>F229+F232+F234+F236</f>
        <v>386.0740740740741</v>
      </c>
      <c r="G238" s="208">
        <f>G229+G232+G234+G236</f>
        <v>412.9</v>
      </c>
      <c r="H238" s="208">
        <f>H229+H232+H234+H236</f>
        <v>548.3890786750001</v>
      </c>
      <c r="I238" s="346">
        <v>0.075</v>
      </c>
    </row>
    <row r="239" spans="6:9" ht="12.75">
      <c r="F239" s="142"/>
      <c r="G239" s="142"/>
      <c r="H239" s="142"/>
      <c r="I239" s="142"/>
    </row>
    <row r="240" spans="6:9" ht="12.75">
      <c r="F240" s="142"/>
      <c r="G240" s="142"/>
      <c r="H240" s="142"/>
      <c r="I240" s="142"/>
    </row>
    <row r="241" ht="12.75"/>
    <row r="242" ht="12.75"/>
    <row r="243" ht="12.75"/>
    <row r="244" spans="1:6" ht="63.75">
      <c r="A244" s="347" t="s">
        <v>263</v>
      </c>
      <c r="B244" s="347"/>
      <c r="C244" s="347"/>
      <c r="D244" s="347"/>
      <c r="E244" s="347"/>
      <c r="F244" s="143">
        <f>252*0.5*365*24</f>
        <v>1103760</v>
      </c>
    </row>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6" spans="1:5" ht="17.5">
      <c r="A266" s="300" t="s">
        <v>264</v>
      </c>
      <c r="B266" s="300"/>
      <c r="C266" s="300"/>
      <c r="D266" s="300"/>
      <c r="E266" s="300"/>
    </row>
    <row r="267" ht="14">
      <c r="J267" s="143" t="s">
        <v>234</v>
      </c>
    </row>
    <row r="268" spans="1:10" ht="14.5">
      <c r="A268" s="348" t="s">
        <v>74</v>
      </c>
      <c r="B268" s="157"/>
      <c r="C268" s="157"/>
      <c r="D268" s="157"/>
      <c r="E268" s="157"/>
      <c r="J268" s="349" t="s">
        <v>30</v>
      </c>
    </row>
    <row r="269" spans="1:10" ht="14.5">
      <c r="A269" s="348" t="s">
        <v>76</v>
      </c>
      <c r="B269" s="157"/>
      <c r="C269" s="157"/>
      <c r="D269" s="157"/>
      <c r="E269" s="157"/>
      <c r="J269" s="350" t="s">
        <v>265</v>
      </c>
    </row>
    <row r="270" spans="1:10" ht="14.5">
      <c r="A270" s="348" t="s">
        <v>78</v>
      </c>
      <c r="B270" s="157"/>
      <c r="C270" s="157"/>
      <c r="D270" s="157"/>
      <c r="E270" s="157"/>
      <c r="J270" s="350" t="s">
        <v>266</v>
      </c>
    </row>
    <row r="271" spans="1:10" ht="14.5">
      <c r="A271" s="348" t="s">
        <v>30</v>
      </c>
      <c r="B271" s="157"/>
      <c r="C271" s="157"/>
      <c r="D271" s="157"/>
      <c r="E271" s="157"/>
      <c r="J271" s="350" t="s">
        <v>267</v>
      </c>
    </row>
    <row r="272" spans="1:10" ht="14.5">
      <c r="A272" s="348" t="s">
        <v>84</v>
      </c>
      <c r="B272" s="157"/>
      <c r="C272" s="157"/>
      <c r="D272" s="157"/>
      <c r="E272" s="157"/>
      <c r="J272" s="350" t="s">
        <v>268</v>
      </c>
    </row>
    <row r="273" spans="1:10" ht="14.5">
      <c r="A273" s="348" t="s">
        <v>86</v>
      </c>
      <c r="B273" s="157"/>
      <c r="C273" s="157"/>
      <c r="D273" s="157"/>
      <c r="E273" s="157"/>
      <c r="J273" s="350" t="s">
        <v>90</v>
      </c>
    </row>
    <row r="274" spans="1:10" ht="14.5">
      <c r="A274" s="351" t="s">
        <v>269</v>
      </c>
      <c r="B274" s="352"/>
      <c r="C274" s="352"/>
      <c r="D274" s="352"/>
      <c r="E274" s="352"/>
      <c r="J274" s="350" t="s">
        <v>270</v>
      </c>
    </row>
    <row r="275" spans="1:10" ht="14.5">
      <c r="A275" s="348" t="s">
        <v>88</v>
      </c>
      <c r="B275" s="157"/>
      <c r="C275" s="157"/>
      <c r="D275" s="157"/>
      <c r="E275" s="157"/>
      <c r="J275" s="350" t="s">
        <v>271</v>
      </c>
    </row>
    <row r="276" spans="1:10" ht="14.5">
      <c r="A276" s="348" t="s">
        <v>90</v>
      </c>
      <c r="B276" s="157"/>
      <c r="C276" s="157"/>
      <c r="D276" s="157"/>
      <c r="E276" s="157"/>
      <c r="J276" s="350" t="s">
        <v>272</v>
      </c>
    </row>
    <row r="277" spans="1:10" ht="14.5">
      <c r="A277" s="353" t="s">
        <v>273</v>
      </c>
      <c r="B277" s="354"/>
      <c r="C277" s="354"/>
      <c r="D277" s="354"/>
      <c r="E277" s="354"/>
      <c r="J277" s="350" t="s">
        <v>274</v>
      </c>
    </row>
    <row r="278" spans="1:10" ht="14.5">
      <c r="A278" s="353" t="s">
        <v>275</v>
      </c>
      <c r="B278" s="354"/>
      <c r="C278" s="354"/>
      <c r="D278" s="354"/>
      <c r="E278" s="354"/>
      <c r="J278" s="355" t="s">
        <v>276</v>
      </c>
    </row>
    <row r="279" spans="1:10" ht="14.5">
      <c r="A279" s="353" t="s">
        <v>277</v>
      </c>
      <c r="B279" s="354"/>
      <c r="C279" s="354"/>
      <c r="D279" s="354"/>
      <c r="E279" s="354"/>
      <c r="J279" s="350" t="s">
        <v>278</v>
      </c>
    </row>
    <row r="280" spans="1:10" ht="15">
      <c r="A280" s="356" t="s">
        <v>279</v>
      </c>
      <c r="B280" s="354"/>
      <c r="C280" s="354"/>
      <c r="D280" s="354"/>
      <c r="E280" s="354"/>
      <c r="J280" s="350" t="s">
        <v>280</v>
      </c>
    </row>
    <row r="281" spans="1:10" ht="108">
      <c r="A281" s="143" t="s">
        <v>94</v>
      </c>
      <c r="J281" s="357" t="s">
        <v>281</v>
      </c>
    </row>
    <row r="282" spans="1:10" ht="40.5">
      <c r="A282" s="143" t="s">
        <v>282</v>
      </c>
      <c r="J282" s="357" t="s">
        <v>283</v>
      </c>
    </row>
    <row r="283" ht="15">
      <c r="A283" s="143" t="s">
        <v>284</v>
      </c>
    </row>
    <row r="284" ht="15">
      <c r="A284" s="143" t="s">
        <v>33</v>
      </c>
    </row>
    <row r="285" ht="15">
      <c r="A285" s="143" t="s">
        <v>5</v>
      </c>
    </row>
    <row r="286" spans="1:10" ht="15">
      <c r="A286" s="143" t="s">
        <v>285</v>
      </c>
      <c r="J286" s="142"/>
    </row>
    <row r="287" ht="15">
      <c r="A287" s="143" t="s">
        <v>79</v>
      </c>
    </row>
    <row r="289" ht="15">
      <c r="A289" s="143" t="s">
        <v>286</v>
      </c>
    </row>
    <row r="291" ht="15">
      <c r="A291" s="143" t="s">
        <v>74</v>
      </c>
    </row>
    <row r="292" ht="15">
      <c r="A292" s="143" t="s">
        <v>76</v>
      </c>
    </row>
    <row r="293" spans="1:11" ht="15">
      <c r="A293" s="143" t="s">
        <v>78</v>
      </c>
      <c r="K293" s="143" t="s">
        <v>287</v>
      </c>
    </row>
    <row r="294" ht="12.75">
      <c r="A294" s="143" t="s">
        <v>79</v>
      </c>
    </row>
    <row r="295" ht="12.75">
      <c r="A295" s="143" t="s">
        <v>288</v>
      </c>
    </row>
    <row r="296" ht="12.75">
      <c r="A296" s="143" t="s">
        <v>30</v>
      </c>
    </row>
    <row r="297" ht="12.75">
      <c r="A297" s="143" t="s">
        <v>84</v>
      </c>
    </row>
    <row r="298" ht="12.75">
      <c r="A298" s="143" t="s">
        <v>86</v>
      </c>
    </row>
    <row r="299" ht="12.75">
      <c r="A299" s="143" t="s">
        <v>88</v>
      </c>
    </row>
    <row r="300" ht="12.75">
      <c r="A300" s="143" t="s">
        <v>90</v>
      </c>
    </row>
    <row r="301" ht="12.75">
      <c r="A301" s="143" t="s">
        <v>273</v>
      </c>
    </row>
    <row r="302" ht="12.75">
      <c r="A302" s="143" t="s">
        <v>94</v>
      </c>
    </row>
    <row r="303" ht="12.75">
      <c r="A303" s="143" t="s">
        <v>277</v>
      </c>
    </row>
    <row r="304" ht="12.75">
      <c r="A304" s="143" t="s">
        <v>5</v>
      </c>
    </row>
    <row r="305" ht="12.75">
      <c r="A305" s="143" t="s">
        <v>33</v>
      </c>
    </row>
    <row r="306" ht="12.75">
      <c r="A306" s="143" t="s">
        <v>285</v>
      </c>
    </row>
    <row r="307" ht="12.75"/>
    <row r="308" ht="12.75"/>
    <row r="309" ht="12.75"/>
    <row r="310" ht="12.75">
      <c r="A310" s="143" t="s">
        <v>289</v>
      </c>
    </row>
    <row r="311" ht="12.75"/>
    <row r="312" ht="12.75"/>
    <row r="313" ht="12.75"/>
    <row r="314" ht="12.75"/>
    <row r="315" ht="12.75"/>
    <row r="316" ht="12.75"/>
    <row r="317" ht="12.75">
      <c r="A317" s="142"/>
    </row>
    <row r="318" ht="12.75"/>
    <row r="319" ht="12.75"/>
    <row r="320" ht="12.75"/>
    <row r="321" ht="12.75"/>
    <row r="322" ht="12.75"/>
    <row r="323" ht="12.75"/>
    <row r="324" ht="12.75">
      <c r="I324" s="142"/>
    </row>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8" spans="8:15" ht="15">
      <c r="H358" s="143" t="s">
        <v>290</v>
      </c>
      <c r="I358" s="143">
        <f>0.3*15</f>
        <v>4.5</v>
      </c>
      <c r="J358" s="143">
        <f>0.34*16.3</f>
        <v>5.542000000000001</v>
      </c>
      <c r="L358" s="143">
        <v>6.1</v>
      </c>
      <c r="M358" s="142" t="s">
        <v>291</v>
      </c>
      <c r="N358" s="142">
        <v>10.6</v>
      </c>
      <c r="O358" s="142" t="s">
        <v>292</v>
      </c>
    </row>
    <row r="361" spans="2:6" ht="15">
      <c r="B361" s="143" t="s">
        <v>293</v>
      </c>
      <c r="C361" s="143" t="s">
        <v>294</v>
      </c>
      <c r="F361" s="143" t="s">
        <v>295</v>
      </c>
    </row>
    <row r="362" spans="1:7" ht="15">
      <c r="A362" s="143">
        <v>2019</v>
      </c>
      <c r="B362" s="143">
        <v>584</v>
      </c>
      <c r="C362" s="143">
        <f>1000*B362/3.6</f>
        <v>162222.22222222222</v>
      </c>
      <c r="F362" s="143">
        <v>34.169</v>
      </c>
      <c r="G362" s="143">
        <f>F362*1000/C362</f>
        <v>0.21063082191780821</v>
      </c>
    </row>
    <row r="366" ht="15">
      <c r="A366" s="143" t="s">
        <v>296</v>
      </c>
    </row>
    <row r="368" spans="1:13" ht="15">
      <c r="A368" s="143">
        <v>2019</v>
      </c>
      <c r="B368" s="143" t="s">
        <v>297</v>
      </c>
      <c r="C368" s="143" t="s">
        <v>298</v>
      </c>
      <c r="F368" s="143" t="s">
        <v>299</v>
      </c>
      <c r="G368" s="143" t="s">
        <v>300</v>
      </c>
      <c r="H368" s="143" t="s">
        <v>301</v>
      </c>
      <c r="I368" s="143" t="s">
        <v>302</v>
      </c>
      <c r="J368" s="143" t="s">
        <v>303</v>
      </c>
      <c r="K368" s="143" t="s">
        <v>304</v>
      </c>
      <c r="L368" s="143" t="s">
        <v>305</v>
      </c>
      <c r="M368" s="143" t="s">
        <v>306</v>
      </c>
    </row>
    <row r="369" spans="1:13" ht="14.5">
      <c r="A369" s="348" t="s">
        <v>74</v>
      </c>
      <c r="B369" s="341">
        <v>639.4000000000001</v>
      </c>
      <c r="C369" s="341">
        <f aca="true" t="shared" si="88" ref="C369:C385">0.6*B369</f>
        <v>383.64000000000004</v>
      </c>
      <c r="D369" s="341"/>
      <c r="E369" s="341"/>
      <c r="F369" s="341">
        <v>700</v>
      </c>
      <c r="G369" s="341"/>
      <c r="H369" s="341"/>
      <c r="I369" s="341">
        <v>95</v>
      </c>
      <c r="J369" s="341">
        <v>300</v>
      </c>
      <c r="K369" s="338">
        <f aca="true" t="shared" si="89" ref="K369:K374">I369/L369</f>
        <v>0.16272696128811234</v>
      </c>
      <c r="L369" s="143">
        <f>0.278*6*350</f>
        <v>583.8000000000001</v>
      </c>
      <c r="M369" s="142" t="s">
        <v>121</v>
      </c>
    </row>
    <row r="370" spans="1:13" ht="14.5">
      <c r="A370" s="348" t="s">
        <v>76</v>
      </c>
      <c r="B370" s="341">
        <v>417.00000000000006</v>
      </c>
      <c r="C370" s="341">
        <f t="shared" si="88"/>
        <v>250.20000000000002</v>
      </c>
      <c r="D370" s="341"/>
      <c r="E370" s="341"/>
      <c r="F370" s="341">
        <v>490</v>
      </c>
      <c r="G370" s="341"/>
      <c r="H370" s="341"/>
      <c r="I370" s="341">
        <v>225</v>
      </c>
      <c r="J370" s="341">
        <v>250</v>
      </c>
      <c r="K370" s="338">
        <f t="shared" si="89"/>
        <v>0.6225788599889319</v>
      </c>
      <c r="L370" s="143">
        <f>0.278*200*6.5</f>
        <v>361.40000000000003</v>
      </c>
      <c r="M370" s="142" t="s">
        <v>122</v>
      </c>
    </row>
    <row r="371" spans="1:13" ht="14.5">
      <c r="A371" s="348" t="s">
        <v>78</v>
      </c>
      <c r="B371" s="341">
        <v>973.0000000000001</v>
      </c>
      <c r="C371" s="341">
        <f t="shared" si="88"/>
        <v>583.8000000000001</v>
      </c>
      <c r="D371" s="341"/>
      <c r="E371" s="341"/>
      <c r="F371" s="341">
        <v>300</v>
      </c>
      <c r="G371" s="341"/>
      <c r="H371" s="341"/>
      <c r="I371" s="341">
        <v>160</v>
      </c>
      <c r="J371" s="341">
        <v>335</v>
      </c>
      <c r="K371" s="338">
        <f t="shared" si="89"/>
        <v>0.35971223021582727</v>
      </c>
      <c r="L371" s="143">
        <f>0.278*1600</f>
        <v>444.80000000000007</v>
      </c>
      <c r="M371" s="142" t="s">
        <v>307</v>
      </c>
    </row>
    <row r="372" spans="1:13" ht="14.5">
      <c r="A372" s="348" t="s">
        <v>79</v>
      </c>
      <c r="B372" s="341">
        <v>806.2</v>
      </c>
      <c r="C372" s="341">
        <f t="shared" si="88"/>
        <v>483.72</v>
      </c>
      <c r="D372" s="341"/>
      <c r="E372" s="341"/>
      <c r="F372" s="341"/>
      <c r="G372" s="341"/>
      <c r="H372" s="341"/>
      <c r="I372" s="341">
        <v>120</v>
      </c>
      <c r="J372" s="341">
        <v>145</v>
      </c>
      <c r="K372" s="338"/>
      <c r="M372" s="142" t="s">
        <v>116</v>
      </c>
    </row>
    <row r="373" spans="1:13" ht="14.5">
      <c r="A373" s="348" t="s">
        <v>81</v>
      </c>
      <c r="B373" s="341">
        <v>287.73</v>
      </c>
      <c r="C373" s="341">
        <f t="shared" si="88"/>
        <v>172.638</v>
      </c>
      <c r="D373" s="341"/>
      <c r="E373" s="341"/>
      <c r="F373" s="341"/>
      <c r="G373" s="341"/>
      <c r="H373" s="341"/>
      <c r="I373" s="341">
        <v>70</v>
      </c>
      <c r="J373" s="341">
        <v>145</v>
      </c>
      <c r="K373" s="338"/>
      <c r="M373" s="142" t="s">
        <v>116</v>
      </c>
    </row>
    <row r="374" spans="1:13" ht="14.5">
      <c r="A374" s="348" t="s">
        <v>30</v>
      </c>
      <c r="B374" s="341">
        <v>159.46080000000003</v>
      </c>
      <c r="C374" s="341">
        <f t="shared" si="88"/>
        <v>95.67648000000001</v>
      </c>
      <c r="D374" s="341"/>
      <c r="E374" s="341"/>
      <c r="F374" s="341">
        <v>60</v>
      </c>
      <c r="G374" s="341" t="s">
        <v>308</v>
      </c>
      <c r="H374" s="341" t="s">
        <v>309</v>
      </c>
      <c r="I374" s="341">
        <v>35</v>
      </c>
      <c r="J374" s="341">
        <v>60</v>
      </c>
      <c r="K374" s="338">
        <f t="shared" si="89"/>
        <v>0.31474820143884885</v>
      </c>
      <c r="L374" s="143">
        <f>400*0.278</f>
        <v>111.20000000000002</v>
      </c>
      <c r="M374" s="142" t="s">
        <v>123</v>
      </c>
    </row>
    <row r="375" spans="1:13" ht="14.5">
      <c r="A375" s="348" t="s">
        <v>84</v>
      </c>
      <c r="B375" s="341">
        <v>221.84400000000005</v>
      </c>
      <c r="C375" s="341">
        <f t="shared" si="88"/>
        <v>133.10640000000004</v>
      </c>
      <c r="D375" s="341"/>
      <c r="E375" s="341"/>
      <c r="F375" s="341" t="s">
        <v>310</v>
      </c>
      <c r="G375" s="341"/>
      <c r="H375" s="341" t="s">
        <v>311</v>
      </c>
      <c r="I375" s="341">
        <v>60</v>
      </c>
      <c r="J375" s="341">
        <v>63</v>
      </c>
      <c r="K375" s="338"/>
      <c r="M375" s="142" t="s">
        <v>116</v>
      </c>
    </row>
    <row r="376" spans="1:13" ht="14.5">
      <c r="A376" s="348" t="s">
        <v>86</v>
      </c>
      <c r="B376" s="341">
        <v>30</v>
      </c>
      <c r="C376" s="341">
        <f t="shared" si="88"/>
        <v>18</v>
      </c>
      <c r="D376" s="341"/>
      <c r="E376" s="341"/>
      <c r="F376" s="341"/>
      <c r="G376" s="341"/>
      <c r="H376" s="341"/>
      <c r="I376" s="341">
        <v>16</v>
      </c>
      <c r="J376" s="341"/>
      <c r="K376" s="338"/>
      <c r="M376" s="142" t="s">
        <v>97</v>
      </c>
    </row>
    <row r="377" spans="1:13" ht="14.5">
      <c r="A377" s="348" t="s">
        <v>88</v>
      </c>
      <c r="B377" s="341">
        <v>5</v>
      </c>
      <c r="C377" s="341">
        <f t="shared" si="88"/>
        <v>3</v>
      </c>
      <c r="D377" s="341"/>
      <c r="E377" s="341"/>
      <c r="F377" s="341"/>
      <c r="G377" s="341"/>
      <c r="H377" s="341"/>
      <c r="I377" s="341"/>
      <c r="J377" s="341"/>
      <c r="K377" s="338"/>
      <c r="M377" s="142" t="s">
        <v>97</v>
      </c>
    </row>
    <row r="378" spans="1:13" ht="14.5">
      <c r="A378" s="348" t="s">
        <v>90</v>
      </c>
      <c r="B378" s="341">
        <v>695.0000000000001</v>
      </c>
      <c r="C378" s="341">
        <f t="shared" si="88"/>
        <v>417.00000000000006</v>
      </c>
      <c r="D378" s="341"/>
      <c r="E378" s="341"/>
      <c r="F378" s="341"/>
      <c r="G378" s="341"/>
      <c r="H378" s="341"/>
      <c r="I378" s="341">
        <v>460</v>
      </c>
      <c r="J378" s="341">
        <v>420</v>
      </c>
      <c r="K378" s="338"/>
      <c r="M378" s="142" t="s">
        <v>312</v>
      </c>
    </row>
    <row r="379" spans="1:13" ht="14.5">
      <c r="A379" s="348" t="s">
        <v>92</v>
      </c>
      <c r="B379" s="341">
        <v>255.76000000000002</v>
      </c>
      <c r="C379" s="341">
        <f t="shared" si="88"/>
        <v>153.45600000000002</v>
      </c>
      <c r="D379" s="341"/>
      <c r="E379" s="341"/>
      <c r="F379" s="341"/>
      <c r="G379" s="341"/>
      <c r="H379" s="341"/>
      <c r="I379" s="341">
        <v>60</v>
      </c>
      <c r="J379" s="341"/>
      <c r="K379" s="338"/>
      <c r="M379" s="142" t="s">
        <v>111</v>
      </c>
    </row>
    <row r="380" spans="1:13" ht="14.5">
      <c r="A380" s="348" t="s">
        <v>94</v>
      </c>
      <c r="B380" s="341">
        <v>333.6</v>
      </c>
      <c r="C380" s="341">
        <f t="shared" si="88"/>
        <v>200.16</v>
      </c>
      <c r="D380" s="341"/>
      <c r="E380" s="341"/>
      <c r="F380" s="341"/>
      <c r="G380" s="341"/>
      <c r="H380" s="341"/>
      <c r="I380" s="341">
        <v>70</v>
      </c>
      <c r="J380" s="341">
        <v>74</v>
      </c>
      <c r="K380" s="338"/>
      <c r="M380" s="142" t="s">
        <v>111</v>
      </c>
    </row>
    <row r="381" spans="1:13" ht="14.5">
      <c r="A381" s="348" t="s">
        <v>96</v>
      </c>
      <c r="B381" s="341">
        <v>200</v>
      </c>
      <c r="C381" s="341">
        <f t="shared" si="88"/>
        <v>120</v>
      </c>
      <c r="D381" s="341"/>
      <c r="E381" s="341"/>
      <c r="F381" s="341"/>
      <c r="G381" s="341"/>
      <c r="H381" s="341"/>
      <c r="I381" s="341">
        <v>120</v>
      </c>
      <c r="J381" s="341"/>
      <c r="K381" s="338"/>
      <c r="M381" s="142" t="s">
        <v>97</v>
      </c>
    </row>
    <row r="382" spans="1:13" ht="14.5">
      <c r="A382" s="157" t="s">
        <v>5</v>
      </c>
      <c r="B382" s="341">
        <v>70.05600000000001</v>
      </c>
      <c r="C382" s="341">
        <f t="shared" si="88"/>
        <v>42.03360000000001</v>
      </c>
      <c r="D382" s="341"/>
      <c r="E382" s="341"/>
      <c r="F382" s="341"/>
      <c r="G382" s="341"/>
      <c r="H382" s="341"/>
      <c r="I382" s="341"/>
      <c r="J382" s="341"/>
      <c r="K382" s="338"/>
      <c r="M382" s="142" t="s">
        <v>124</v>
      </c>
    </row>
    <row r="383" spans="1:13" ht="14.5">
      <c r="A383" s="157" t="s">
        <v>33</v>
      </c>
      <c r="B383" s="341">
        <v>150</v>
      </c>
      <c r="C383" s="341">
        <f t="shared" si="88"/>
        <v>90</v>
      </c>
      <c r="D383" s="341"/>
      <c r="E383" s="341"/>
      <c r="F383" s="341">
        <v>60</v>
      </c>
      <c r="G383" s="341">
        <v>28</v>
      </c>
      <c r="H383" s="341"/>
      <c r="I383" s="341"/>
      <c r="J383" s="341">
        <v>86</v>
      </c>
      <c r="K383" s="338"/>
      <c r="M383" s="142" t="s">
        <v>97</v>
      </c>
    </row>
    <row r="384" spans="1:13" ht="14.5">
      <c r="A384" s="157" t="s">
        <v>101</v>
      </c>
      <c r="B384" s="341">
        <v>1200</v>
      </c>
      <c r="C384" s="341">
        <f t="shared" si="88"/>
        <v>720</v>
      </c>
      <c r="D384" s="341"/>
      <c r="E384" s="341"/>
      <c r="F384" s="341"/>
      <c r="G384" s="341"/>
      <c r="H384" s="341"/>
      <c r="I384" s="341"/>
      <c r="J384" s="341">
        <v>800</v>
      </c>
      <c r="K384" s="338"/>
      <c r="M384" s="142" t="s">
        <v>125</v>
      </c>
    </row>
    <row r="385" spans="1:13" ht="14.5">
      <c r="A385" s="157" t="s">
        <v>16</v>
      </c>
      <c r="B385" s="341">
        <v>50</v>
      </c>
      <c r="C385" s="341">
        <f t="shared" si="88"/>
        <v>30</v>
      </c>
      <c r="D385" s="341"/>
      <c r="E385" s="341"/>
      <c r="F385" s="341"/>
      <c r="G385" s="341">
        <v>46</v>
      </c>
      <c r="H385" s="341"/>
      <c r="I385" s="341"/>
      <c r="J385" s="341"/>
      <c r="K385" s="341"/>
      <c r="M385" s="142" t="s">
        <v>97</v>
      </c>
    </row>
    <row r="388" spans="2:8" ht="15">
      <c r="B388" s="143" t="s">
        <v>313</v>
      </c>
      <c r="C388" s="143" t="s">
        <v>314</v>
      </c>
      <c r="F388" s="143" t="s">
        <v>315</v>
      </c>
      <c r="G388" s="143" t="s">
        <v>316</v>
      </c>
      <c r="H388" s="143" t="s">
        <v>317</v>
      </c>
    </row>
    <row r="389" spans="1:7" ht="15">
      <c r="A389" s="143" t="s">
        <v>318</v>
      </c>
      <c r="B389" s="143">
        <v>158.79</v>
      </c>
      <c r="C389" s="143">
        <v>191.45</v>
      </c>
      <c r="F389" s="143">
        <v>138.66</v>
      </c>
      <c r="G389" s="143">
        <v>576.23</v>
      </c>
    </row>
    <row r="390" spans="1:7" ht="15">
      <c r="A390" s="143" t="s">
        <v>319</v>
      </c>
      <c r="B390" s="143">
        <v>14.5</v>
      </c>
      <c r="C390" s="143">
        <v>12.4</v>
      </c>
      <c r="F390" s="143">
        <v>7.5</v>
      </c>
      <c r="G390" s="143">
        <v>34.08</v>
      </c>
    </row>
    <row r="391" spans="1:8" ht="15">
      <c r="A391" s="143" t="s">
        <v>320</v>
      </c>
      <c r="B391" s="322">
        <f>B390/(0.278*B389)</f>
        <v>0.3284732878726303</v>
      </c>
      <c r="C391" s="322">
        <f>C390/(0.278*C389)</f>
        <v>0.2329815437281932</v>
      </c>
      <c r="D391" s="322"/>
      <c r="E391" s="322"/>
      <c r="F391" s="322">
        <f>F390/(0.278*F389)</f>
        <v>0.19456524784499532</v>
      </c>
      <c r="G391" s="322">
        <f>G390/(0.278*G389)</f>
        <v>0.21274478603605146</v>
      </c>
      <c r="H391" s="143">
        <f>G391*0.278</f>
        <v>0.05914305051802231</v>
      </c>
    </row>
    <row r="396" ht="15">
      <c r="A396" s="143" t="s">
        <v>321</v>
      </c>
    </row>
    <row r="398" ht="15">
      <c r="A398" s="143" t="s">
        <v>322</v>
      </c>
    </row>
    <row r="409" ht="15">
      <c r="C409" s="143">
        <f>1.37*1.37</f>
        <v>1.8769000000000002</v>
      </c>
    </row>
    <row r="421" ht="15">
      <c r="A421" s="143" t="s">
        <v>323</v>
      </c>
    </row>
    <row r="424" spans="3:5" ht="12.75">
      <c r="C424" s="142"/>
      <c r="D424" s="142"/>
      <c r="E424" s="142"/>
    </row>
    <row r="426" ht="12.75"/>
    <row r="427" ht="12.75"/>
    <row r="428" ht="12.75"/>
    <row r="429" ht="12.75"/>
    <row r="430" ht="12.75"/>
    <row r="431" ht="12.75"/>
    <row r="432" ht="12.75"/>
    <row r="433" ht="12.75"/>
    <row r="434" ht="12.75"/>
    <row r="435" ht="12.75"/>
    <row r="436" ht="12.75"/>
    <row r="437" ht="12.75"/>
    <row r="438" ht="12.75"/>
    <row r="439" ht="12.75"/>
    <row r="440" ht="12.75"/>
    <row r="449" ht="12.75"/>
    <row r="450" ht="12.75"/>
    <row r="451" ht="12.75"/>
    <row r="452" ht="12.75"/>
    <row r="453" ht="12.75"/>
    <row r="454" ht="12.75"/>
    <row r="455" ht="12.75"/>
    <row r="456" ht="12.75"/>
    <row r="457" ht="12.75"/>
    <row r="458" ht="12.75"/>
    <row r="459" ht="12.75"/>
    <row r="460" ht="12.75"/>
    <row r="461"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sheetData>
  <mergeCells count="5">
    <mergeCell ref="A2:F3"/>
    <mergeCell ref="X48:AA48"/>
    <mergeCell ref="X68:AA68"/>
    <mergeCell ref="X75:AA75"/>
    <mergeCell ref="Z141:AB141"/>
  </mergeCells>
  <conditionalFormatting sqref="F25:W42 F66:W82 F85:W102 F105:W122 F129:W136 Y132 F140:W144">
    <cfRule type="expression" priority="6" dxfId="0">
      <formula>MOD(ROW(),2)</formula>
    </cfRule>
  </conditionalFormatting>
  <conditionalFormatting sqref="F199:N199">
    <cfRule type="expression" priority="5" dxfId="0">
      <formula>MOD(ROW(),2)</formula>
    </cfRule>
  </conditionalFormatting>
  <conditionalFormatting sqref="O200:W201">
    <cfRule type="expression" priority="4" dxfId="0">
      <formula>MOD(ROW(),2)</formula>
    </cfRule>
  </conditionalFormatting>
  <conditionalFormatting sqref="F46:W62">
    <cfRule type="expression" priority="3" dxfId="0">
      <formula>MOD(ROW(),2)</formula>
    </cfRule>
  </conditionalFormatting>
  <conditionalFormatting sqref="F8:W19">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6">
            <xm:f>MOD(ROW(),2)</xm:f>
            <x14:dxf>
              <fill>
                <patternFill patternType="solid">
                  <fgColor theme="5" tint="0.5999600291252136"/>
                  <bgColor theme="5" tint="0.5999600291252136"/>
                </patternFill>
              </fill>
            </x14:dxf>
          </x14:cfRule>
          <xm:sqref>F25:W42 F66:W82 F85:W102 F105:W122 F129:W136 Y132 F140:W144</xm:sqref>
        </x14:conditionalFormatting>
        <x14:conditionalFormatting xmlns:xm="http://schemas.microsoft.com/office/excel/2006/main">
          <x14:cfRule type="expression" priority="5">
            <xm:f>MOD(ROW(),2)</xm:f>
            <x14:dxf>
              <fill>
                <patternFill patternType="solid">
                  <fgColor theme="5" tint="0.5999600291252136"/>
                  <bgColor theme="5" tint="0.5999600291252136"/>
                </patternFill>
              </fill>
            </x14:dxf>
          </x14:cfRule>
          <xm:sqref>F199:N199</xm:sqref>
        </x14:conditionalFormatting>
        <x14:conditionalFormatting xmlns:xm="http://schemas.microsoft.com/office/excel/2006/main">
          <x14:cfRule type="expression" priority="4">
            <xm:f>MOD(ROW(),2)</xm:f>
            <x14:dxf>
              <fill>
                <patternFill patternType="solid">
                  <fgColor theme="5" tint="0.5999600291252136"/>
                  <bgColor theme="5" tint="0.5999600291252136"/>
                </patternFill>
              </fill>
            </x14:dxf>
          </x14:cfRule>
          <xm:sqref>O200:W201</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F46:W62</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F8:W19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Y120"/>
  <sheetViews>
    <sheetView zoomScale="60" zoomScaleNormal="60" workbookViewId="0" topLeftCell="A79">
      <selection activeCell="S70" sqref="S70"/>
    </sheetView>
  </sheetViews>
  <sheetFormatPr defaultColWidth="12.140625" defaultRowHeight="15"/>
  <cols>
    <col min="1" max="1" width="50.57421875" style="142" customWidth="1"/>
    <col min="2" max="2" width="9.57421875" style="142" customWidth="1"/>
    <col min="3" max="7" width="8.57421875" style="142" customWidth="1"/>
    <col min="8" max="8" width="8.57421875" style="311" customWidth="1"/>
    <col min="9" max="19" width="8.57421875" style="142" customWidth="1"/>
    <col min="20" max="20" width="12.421875" style="142" customWidth="1"/>
    <col min="21" max="21" width="13.57421875" style="142" customWidth="1"/>
    <col min="22" max="22" width="10.28125" style="142" customWidth="1"/>
    <col min="23" max="23" width="9.7109375" style="142" customWidth="1"/>
    <col min="24" max="24" width="11.140625" style="142" customWidth="1"/>
    <col min="25" max="25" width="11.57421875" style="142" customWidth="1"/>
    <col min="26" max="16384" width="12.140625" style="142" customWidth="1"/>
  </cols>
  <sheetData>
    <row r="2" spans="1:2" ht="14.5">
      <c r="A2" s="153" t="s">
        <v>363</v>
      </c>
      <c r="B2" s="358"/>
    </row>
    <row r="3" spans="1:2" ht="15">
      <c r="A3" s="358"/>
      <c r="B3" s="358"/>
    </row>
    <row r="4" ht="11.4" customHeight="1"/>
    <row r="5" spans="1:25" ht="32.4" customHeight="1">
      <c r="A5" s="153" t="s">
        <v>324</v>
      </c>
      <c r="B5" s="152">
        <v>2013</v>
      </c>
      <c r="C5" s="152">
        <v>2014</v>
      </c>
      <c r="D5" s="152">
        <v>2015</v>
      </c>
      <c r="E5" s="152">
        <v>2016</v>
      </c>
      <c r="F5" s="152">
        <v>2017</v>
      </c>
      <c r="G5" s="152">
        <v>2018</v>
      </c>
      <c r="H5" s="360">
        <v>2019</v>
      </c>
      <c r="I5" s="152">
        <v>2020</v>
      </c>
      <c r="J5" s="152">
        <v>2021</v>
      </c>
      <c r="K5" s="152">
        <v>2022</v>
      </c>
      <c r="L5" s="152">
        <v>2023</v>
      </c>
      <c r="M5" s="153">
        <v>2024</v>
      </c>
      <c r="N5" s="154">
        <v>2025</v>
      </c>
      <c r="O5" s="271">
        <v>2026</v>
      </c>
      <c r="P5" s="271">
        <v>2027</v>
      </c>
      <c r="Q5" s="271">
        <v>2028</v>
      </c>
      <c r="R5" s="271">
        <v>2029</v>
      </c>
      <c r="S5" s="270">
        <v>2030</v>
      </c>
      <c r="T5" s="439"/>
      <c r="V5" s="440"/>
      <c r="W5" s="440"/>
      <c r="X5" s="440"/>
      <c r="Y5" s="440"/>
    </row>
    <row r="6" spans="1:20" ht="15" customHeight="1">
      <c r="A6" s="361" t="s">
        <v>74</v>
      </c>
      <c r="B6" s="163">
        <f>'DATA MetaMetaverse'!F46*'DATA MetaMetaverse'!F25/1000</f>
        <v>56.48422509586182</v>
      </c>
      <c r="C6" s="163">
        <f>'DATA MetaMetaverse'!G46*'DATA MetaMetaverse'!G25/1000</f>
        <v>53.095171590110105</v>
      </c>
      <c r="D6" s="163">
        <f>'DATA MetaMetaverse'!H46*'DATA MetaMetaverse'!H25/1000</f>
        <v>49.90946129470349</v>
      </c>
      <c r="E6" s="163">
        <f>'DATA MetaMetaverse'!I46*'DATA MetaMetaverse'!I25/1000</f>
        <v>46.914893617021285</v>
      </c>
      <c r="F6" s="163">
        <f>'DATA MetaMetaverse'!J46*'DATA MetaMetaverse'!J25/1000</f>
        <v>44.1</v>
      </c>
      <c r="G6" s="163">
        <f>'DATA MetaMetaverse'!K46*'DATA MetaMetaverse'!K25/1000</f>
        <v>42.9975</v>
      </c>
      <c r="H6" s="163">
        <f>'DATA MetaMetaverse'!L46*'DATA MetaMetaverse'!L25/1000</f>
        <v>41.9225625</v>
      </c>
      <c r="I6" s="163">
        <f>'DATA MetaMetaverse'!M46*'DATA MetaMetaverse'!M25/1000</f>
        <v>40.6732701375</v>
      </c>
      <c r="J6" s="163">
        <f>'DATA MetaMetaverse'!N46*'DATA MetaMetaverse'!N25/1000</f>
        <v>39.461206687402495</v>
      </c>
      <c r="K6" s="163">
        <f>'DATA MetaMetaverse'!O46*'DATA MetaMetaverse'!O25/1000</f>
        <v>38.2852627281179</v>
      </c>
      <c r="L6" s="163">
        <f>'DATA MetaMetaverse'!P46*'DATA MetaMetaverse'!P25/1000</f>
        <v>37.14436189881998</v>
      </c>
      <c r="M6" s="162">
        <f>'DATA MetaMetaverse'!Q46*'DATA MetaMetaverse'!Q25/1000</f>
        <v>36.03745991423514</v>
      </c>
      <c r="N6" s="164">
        <f>'DATA MetaMetaverse'!R46*'DATA MetaMetaverse'!R25/1000</f>
        <v>34.963543608790935</v>
      </c>
      <c r="O6" s="162">
        <f>'DATA MetaMetaverse'!S46*'DATA MetaMetaverse'!S25/1000</f>
        <v>33.921630009248965</v>
      </c>
      <c r="P6" s="163">
        <f>'DATA MetaMetaverse'!T46*'DATA MetaMetaverse'!T25/1000</f>
        <v>32.91076543497334</v>
      </c>
      <c r="Q6" s="163">
        <f>'DATA MetaMetaverse'!U46*'DATA MetaMetaverse'!U25/1000</f>
        <v>31.930024625011136</v>
      </c>
      <c r="R6" s="163">
        <f>'DATA MetaMetaverse'!V46*'DATA MetaMetaverse'!V25/1000</f>
        <v>30.9785098911858</v>
      </c>
      <c r="S6" s="164">
        <f>'DATA MetaMetaverse'!W46*'DATA MetaMetaverse'!W25/1000</f>
        <v>30.055350296428465</v>
      </c>
      <c r="T6" s="441"/>
    </row>
    <row r="7" spans="1:20" ht="15" customHeight="1">
      <c r="A7" s="362" t="s">
        <v>76</v>
      </c>
      <c r="B7" s="160">
        <f>'DATA MetaMetaverse'!F47*'DATA MetaMetaverse'!F26/1000</f>
        <v>43.18433118593268</v>
      </c>
      <c r="C7" s="160">
        <f>'DATA MetaMetaverse'!G47*'DATA MetaMetaverse'!G26/1000</f>
        <v>44.01347034470258</v>
      </c>
      <c r="D7" s="160">
        <f>'DATA MetaMetaverse'!H47*'DATA MetaMetaverse'!H26/1000</f>
        <v>44.85852897532088</v>
      </c>
      <c r="E7" s="160">
        <f>'DATA MetaMetaverse'!I47*'DATA MetaMetaverse'!I26/1000</f>
        <v>45.71981273164704</v>
      </c>
      <c r="F7" s="160">
        <f>'DATA MetaMetaverse'!J47*'DATA MetaMetaverse'!J26/1000</f>
        <v>46.59763313609467</v>
      </c>
      <c r="G7" s="160">
        <f>'DATA MetaMetaverse'!K47*'DATA MetaMetaverse'!K26/1000</f>
        <v>48.46153846153845</v>
      </c>
      <c r="H7" s="160">
        <f>'DATA MetaMetaverse'!L47*'DATA MetaMetaverse'!L26/1000</f>
        <v>50.4</v>
      </c>
      <c r="I7" s="160">
        <f>'DATA MetaMetaverse'!M47*'DATA MetaMetaverse'!M26/1000</f>
        <v>52.416</v>
      </c>
      <c r="J7" s="160">
        <f>'DATA MetaMetaverse'!N47*'DATA MetaMetaverse'!N26/1000</f>
        <v>54.512640000000005</v>
      </c>
      <c r="K7" s="160">
        <f>'DATA MetaMetaverse'!O47*'DATA MetaMetaverse'!O26/1000</f>
        <v>56.6931456</v>
      </c>
      <c r="L7" s="160">
        <f>'DATA MetaMetaverse'!P47*'DATA MetaMetaverse'!P26/1000</f>
        <v>58.960871424000004</v>
      </c>
      <c r="M7" s="159">
        <f>'DATA MetaMetaverse'!Q47*'DATA MetaMetaverse'!Q26/1000</f>
        <v>61.31930628096001</v>
      </c>
      <c r="N7" s="161">
        <f>'DATA MetaMetaverse'!R47*'DATA MetaMetaverse'!R26/1000</f>
        <v>63.772078532198414</v>
      </c>
      <c r="O7" s="159">
        <f>'DATA MetaMetaverse'!S47*'DATA MetaMetaverse'!S26/1000</f>
        <v>66.32296167348635</v>
      </c>
      <c r="P7" s="160">
        <f>'DATA MetaMetaverse'!T47*'DATA MetaMetaverse'!T26/1000</f>
        <v>68.97588014042582</v>
      </c>
      <c r="Q7" s="160">
        <f>'DATA MetaMetaverse'!U47*'DATA MetaMetaverse'!U26/1000</f>
        <v>71.73491534604284</v>
      </c>
      <c r="R7" s="160">
        <f>'DATA MetaMetaverse'!V47*'DATA MetaMetaverse'!V26/1000</f>
        <v>74.60431195988455</v>
      </c>
      <c r="S7" s="161">
        <f>'DATA MetaMetaverse'!W47*'DATA MetaMetaverse'!W26/1000</f>
        <v>77.58848443827993</v>
      </c>
      <c r="T7" s="441"/>
    </row>
    <row r="8" spans="1:20" ht="15" customHeight="1">
      <c r="A8" s="362" t="s">
        <v>325</v>
      </c>
      <c r="B8" s="160">
        <f>'DATA MetaMetaverse'!F48*'DATA MetaMetaverse'!F27/1000</f>
        <v>70.2539428507593</v>
      </c>
      <c r="C8" s="160">
        <f>'DATA MetaMetaverse'!G48*'DATA MetaMetaverse'!G27/1000</f>
        <v>68.84886399374412</v>
      </c>
      <c r="D8" s="160">
        <f>'DATA MetaMetaverse'!H48*'DATA MetaMetaverse'!H27/1000</f>
        <v>67.47188671386922</v>
      </c>
      <c r="E8" s="160">
        <f>'DATA MetaMetaverse'!I48*'DATA MetaMetaverse'!I27/1000</f>
        <v>66.12244897959185</v>
      </c>
      <c r="F8" s="160">
        <f>'DATA MetaMetaverse'!J48*'DATA MetaMetaverse'!J27/1000</f>
        <v>64.8</v>
      </c>
      <c r="G8" s="160">
        <f>'DATA MetaMetaverse'!K48*'DATA MetaMetaverse'!K27/1000</f>
        <v>64.8</v>
      </c>
      <c r="H8" s="160">
        <f>'DATA MetaMetaverse'!L48*'DATA MetaMetaverse'!L27/1000</f>
        <v>64.8</v>
      </c>
      <c r="I8" s="160">
        <f>'DATA MetaMetaverse'!M48*'DATA MetaMetaverse'!M27/1000</f>
        <v>64.152</v>
      </c>
      <c r="J8" s="160">
        <f>'DATA MetaMetaverse'!N48*'DATA MetaMetaverse'!N27/1000</f>
        <v>63.51048</v>
      </c>
      <c r="K8" s="160">
        <f>'DATA MetaMetaverse'!O48*'DATA MetaMetaverse'!O27/1000</f>
        <v>62.87537519999999</v>
      </c>
      <c r="L8" s="160">
        <f>'DATA MetaMetaverse'!P48*'DATA MetaMetaverse'!P27/1000</f>
        <v>62.246621448</v>
      </c>
      <c r="M8" s="159">
        <f>'DATA MetaMetaverse'!Q48*'DATA MetaMetaverse'!Q27/1000</f>
        <v>61.62415523351999</v>
      </c>
      <c r="N8" s="161">
        <f>'DATA MetaMetaverse'!R48*'DATA MetaMetaverse'!R27/1000</f>
        <v>61.0079136811848</v>
      </c>
      <c r="O8" s="159">
        <f>'DATA MetaMetaverse'!S48*'DATA MetaMetaverse'!S27/1000</f>
        <v>60.39783454437295</v>
      </c>
      <c r="P8" s="160">
        <f>'DATA MetaMetaverse'!T48*'DATA MetaMetaverse'!T27/1000</f>
        <v>59.79385619892922</v>
      </c>
      <c r="Q8" s="160">
        <f>'DATA MetaMetaverse'!U48*'DATA MetaMetaverse'!U27/1000</f>
        <v>59.19591763693993</v>
      </c>
      <c r="R8" s="160">
        <f>'DATA MetaMetaverse'!V48*'DATA MetaMetaverse'!V27/1000</f>
        <v>58.60395846057053</v>
      </c>
      <c r="S8" s="161">
        <f>'DATA MetaMetaverse'!W48*'DATA MetaMetaverse'!W27/1000</f>
        <v>58.017918875964824</v>
      </c>
      <c r="T8" s="441"/>
    </row>
    <row r="9" spans="1:20" ht="15" customHeight="1">
      <c r="A9" s="362" t="s">
        <v>79</v>
      </c>
      <c r="B9" s="160">
        <f>'DATA MetaMetaverse'!F49*'DATA MetaMetaverse'!F28/1000</f>
        <v>20.86732748137551</v>
      </c>
      <c r="C9" s="160">
        <f>'DATA MetaMetaverse'!G49*'DATA MetaMetaverse'!G28/1000</f>
        <v>21.28467403100302</v>
      </c>
      <c r="D9" s="160">
        <f>'DATA MetaMetaverse'!H49*'DATA MetaMetaverse'!H28/1000</f>
        <v>21.710367511623083</v>
      </c>
      <c r="E9" s="160">
        <f>'DATA MetaMetaverse'!I49*'DATA MetaMetaverse'!I28/1000</f>
        <v>22.14457486185555</v>
      </c>
      <c r="F9" s="160">
        <f>'DATA MetaMetaverse'!J49*'DATA MetaMetaverse'!J28/1000</f>
        <v>22.58746635909266</v>
      </c>
      <c r="G9" s="160">
        <f>'DATA MetaMetaverse'!K49*'DATA MetaMetaverse'!K28/1000</f>
        <v>23.03921568627451</v>
      </c>
      <c r="H9" s="160">
        <f>'DATA MetaMetaverse'!L49*'DATA MetaMetaverse'!L28/1000</f>
        <v>23.5</v>
      </c>
      <c r="I9" s="160">
        <f>'DATA MetaMetaverse'!M49*'DATA MetaMetaverse'!M28/1000</f>
        <v>23.735</v>
      </c>
      <c r="J9" s="160">
        <f>'DATA MetaMetaverse'!N49*'DATA MetaMetaverse'!N28/1000</f>
        <v>23.972350000000002</v>
      </c>
      <c r="K9" s="160">
        <f>'DATA MetaMetaverse'!O49*'DATA MetaMetaverse'!O28/1000</f>
        <v>24.2120735</v>
      </c>
      <c r="L9" s="160">
        <f>'DATA MetaMetaverse'!P49*'DATA MetaMetaverse'!P28/1000</f>
        <v>24.454194235</v>
      </c>
      <c r="M9" s="159">
        <f>'DATA MetaMetaverse'!Q49*'DATA MetaMetaverse'!Q28/1000</f>
        <v>24.698736177349996</v>
      </c>
      <c r="N9" s="161">
        <f>'DATA MetaMetaverse'!R49*'DATA MetaMetaverse'!R28/1000</f>
        <v>24.9457235391235</v>
      </c>
      <c r="O9" s="159">
        <f>'DATA MetaMetaverse'!S49*'DATA MetaMetaverse'!S28/1000</f>
        <v>25.195180774514732</v>
      </c>
      <c r="P9" s="160">
        <f>'DATA MetaMetaverse'!T49*'DATA MetaMetaverse'!T28/1000</f>
        <v>25.447132582259876</v>
      </c>
      <c r="Q9" s="160">
        <f>'DATA MetaMetaverse'!U49*'DATA MetaMetaverse'!U28/1000</f>
        <v>25.70160390808248</v>
      </c>
      <c r="R9" s="160">
        <f>'DATA MetaMetaverse'!V49*'DATA MetaMetaverse'!V28/1000</f>
        <v>25.958619947163303</v>
      </c>
      <c r="S9" s="161">
        <f>'DATA MetaMetaverse'!W49*'DATA MetaMetaverse'!W28/1000</f>
        <v>26.218206146634937</v>
      </c>
      <c r="T9" s="441"/>
    </row>
    <row r="10" spans="1:20" ht="15" customHeight="1">
      <c r="A10" s="362" t="s">
        <v>81</v>
      </c>
      <c r="B10" s="160">
        <f>'DATA MetaMetaverse'!F50*'DATA MetaMetaverse'!F29/1000</f>
        <v>16.82656110682686</v>
      </c>
      <c r="C10" s="160">
        <f>'DATA MetaMetaverse'!G50*'DATA MetaMetaverse'!G29/1000</f>
        <v>17.657793225504108</v>
      </c>
      <c r="D10" s="160">
        <f>'DATA MetaMetaverse'!H50*'DATA MetaMetaverse'!H29/1000</f>
        <v>18.530088210844013</v>
      </c>
      <c r="E10" s="160">
        <f>'DATA MetaMetaverse'!I50*'DATA MetaMetaverse'!I29/1000</f>
        <v>19.44547456845971</v>
      </c>
      <c r="F10" s="160">
        <f>'DATA MetaMetaverse'!J50*'DATA MetaMetaverse'!J29/1000</f>
        <v>20.40608101214162</v>
      </c>
      <c r="G10" s="160">
        <f>'DATA MetaMetaverse'!K50*'DATA MetaMetaverse'!K29/1000</f>
        <v>21.313131313131315</v>
      </c>
      <c r="H10" s="160">
        <f>'DATA MetaMetaverse'!L50*'DATA MetaMetaverse'!L29/1000</f>
        <v>22.1</v>
      </c>
      <c r="I10" s="160">
        <f>'DATA MetaMetaverse'!M50*'DATA MetaMetaverse'!M29/1000</f>
        <v>22.09116</v>
      </c>
      <c r="J10" s="160">
        <f>'DATA MetaMetaverse'!N50*'DATA MetaMetaverse'!N29/1000</f>
        <v>22.082323536</v>
      </c>
      <c r="K10" s="160">
        <f>'DATA MetaMetaverse'!O50*'DATA MetaMetaverse'!O29/1000</f>
        <v>22.073490606585597</v>
      </c>
      <c r="L10" s="160">
        <f>'DATA MetaMetaverse'!P50*'DATA MetaMetaverse'!P29/1000</f>
        <v>22.064661210342965</v>
      </c>
      <c r="M10" s="159">
        <f>'DATA MetaMetaverse'!Q50*'DATA MetaMetaverse'!Q29/1000</f>
        <v>22.055835345858828</v>
      </c>
      <c r="N10" s="161">
        <f>'DATA MetaMetaverse'!R50*'DATA MetaMetaverse'!R29/1000</f>
        <v>22.047013011720487</v>
      </c>
      <c r="O10" s="159">
        <f>'DATA MetaMetaverse'!S50*'DATA MetaMetaverse'!S29/1000</f>
        <v>22.0381942065158</v>
      </c>
      <c r="P10" s="160">
        <f>'DATA MetaMetaverse'!T50*'DATA MetaMetaverse'!T29/1000</f>
        <v>22.029378928833193</v>
      </c>
      <c r="Q10" s="160">
        <f>'DATA MetaMetaverse'!U50*'DATA MetaMetaverse'!U29/1000</f>
        <v>22.020567177261658</v>
      </c>
      <c r="R10" s="160">
        <f>'DATA MetaMetaverse'!V50*'DATA MetaMetaverse'!V29/1000</f>
        <v>22.011758950390753</v>
      </c>
      <c r="S10" s="161">
        <f>'DATA MetaMetaverse'!W50*'DATA MetaMetaverse'!W29/1000</f>
        <v>22.002954246810596</v>
      </c>
      <c r="T10" s="441"/>
    </row>
    <row r="11" spans="1:20" ht="15" customHeight="1">
      <c r="A11" s="362" t="s">
        <v>326</v>
      </c>
      <c r="B11" s="160">
        <f>'DATA MetaMetaverse'!F51*'DATA MetaMetaverse'!F30/1000</f>
        <v>53.624755952641785</v>
      </c>
      <c r="C11" s="160">
        <f>'DATA MetaMetaverse'!G51*'DATA MetaMetaverse'!G30/1000</f>
        <v>63.11633775625939</v>
      </c>
      <c r="D11" s="160">
        <f>'DATA MetaMetaverse'!H51*'DATA MetaMetaverse'!H30/1000</f>
        <v>74.28792953911729</v>
      </c>
      <c r="E11" s="160">
        <f>'DATA MetaMetaverse'!I51*'DATA MetaMetaverse'!I30/1000</f>
        <v>87.43689306754108</v>
      </c>
      <c r="F11" s="160">
        <f>'DATA MetaMetaverse'!J51*'DATA MetaMetaverse'!J30/1000</f>
        <v>102.91322314049586</v>
      </c>
      <c r="G11" s="160">
        <f>'DATA MetaMetaverse'!K51*'DATA MetaMetaverse'!K30/1000</f>
        <v>108.41363636363636</v>
      </c>
      <c r="H11" s="160">
        <f>'DATA MetaMetaverse'!L51*'DATA MetaMetaverse'!L30/1000</f>
        <v>116.535</v>
      </c>
      <c r="I11" s="160">
        <f>'DATA MetaMetaverse'!M51*'DATA MetaMetaverse'!M30/1000</f>
        <v>115.311</v>
      </c>
      <c r="J11" s="160">
        <f>'DATA MetaMetaverse'!N51*'DATA MetaMetaverse'!N30/1000</f>
        <v>125.31422924999998</v>
      </c>
      <c r="K11" s="160">
        <f>'DATA MetaMetaverse'!O51*'DATA MetaMetaverse'!O30/1000</f>
        <v>136.1852386374375</v>
      </c>
      <c r="L11" s="160">
        <f>'DATA MetaMetaverse'!P51*'DATA MetaMetaverse'!P30/1000</f>
        <v>147.9993080892352</v>
      </c>
      <c r="M11" s="159">
        <f>'DATA MetaMetaverse'!Q51*'DATA MetaMetaverse'!Q30/1000</f>
        <v>160.83824806597633</v>
      </c>
      <c r="N11" s="161">
        <f>'DATA MetaMetaverse'!R51*'DATA MetaMetaverse'!R30/1000</f>
        <v>174.7909660856998</v>
      </c>
      <c r="O11" s="159">
        <f>'DATA MetaMetaverse'!S51*'DATA MetaMetaverse'!S30/1000</f>
        <v>187.2011246777845</v>
      </c>
      <c r="P11" s="160">
        <f>'DATA MetaMetaverse'!T51*'DATA MetaMetaverse'!T30/1000</f>
        <v>200.4924045299072</v>
      </c>
      <c r="Q11" s="160">
        <f>'DATA MetaMetaverse'!U51*'DATA MetaMetaverse'!U30/1000</f>
        <v>214.72736525153064</v>
      </c>
      <c r="R11" s="160">
        <f>'DATA MetaMetaverse'!V51*'DATA MetaMetaverse'!V30/1000</f>
        <v>229.9730081843893</v>
      </c>
      <c r="S11" s="161">
        <f>'DATA MetaMetaverse'!W51*'DATA MetaMetaverse'!W30/1000</f>
        <v>246.30109176548095</v>
      </c>
      <c r="T11" s="441"/>
    </row>
    <row r="12" spans="1:20" ht="15" customHeight="1">
      <c r="A12" s="362" t="s">
        <v>84</v>
      </c>
      <c r="B12" s="160">
        <f>'DATA MetaMetaverse'!F52*'DATA MetaMetaverse'!F31/1000</f>
        <v>23.135689814714418</v>
      </c>
      <c r="C12" s="160">
        <f>'DATA MetaMetaverse'!G52*'DATA MetaMetaverse'!G31/1000</f>
        <v>23.922303268414712</v>
      </c>
      <c r="D12" s="160">
        <f>'DATA MetaMetaverse'!H52*'DATA MetaMetaverse'!H31/1000</f>
        <v>24.73566157954081</v>
      </c>
      <c r="E12" s="160">
        <f>'DATA MetaMetaverse'!I52*'DATA MetaMetaverse'!I31/1000</f>
        <v>25.576674073245197</v>
      </c>
      <c r="F12" s="160">
        <f>'DATA MetaMetaverse'!J52*'DATA MetaMetaverse'!J31/1000</f>
        <v>26.446280991735534</v>
      </c>
      <c r="G12" s="160">
        <f>'DATA MetaMetaverse'!K52*'DATA MetaMetaverse'!K31/1000</f>
        <v>27.272727272727273</v>
      </c>
      <c r="H12" s="160">
        <f>'DATA MetaMetaverse'!L52*'DATA MetaMetaverse'!L31/1000</f>
        <v>29</v>
      </c>
      <c r="I12" s="160">
        <f>'DATA MetaMetaverse'!M52*'DATA MetaMetaverse'!M31/1000</f>
        <v>29.5365</v>
      </c>
      <c r="J12" s="160">
        <f>'DATA MetaMetaverse'!N52*'DATA MetaMetaverse'!N31/1000</f>
        <v>30.08292525</v>
      </c>
      <c r="K12" s="160">
        <f>'DATA MetaMetaverse'!O52*'DATA MetaMetaverse'!O31/1000</f>
        <v>30.639459367124996</v>
      </c>
      <c r="L12" s="160">
        <f>'DATA MetaMetaverse'!P52*'DATA MetaMetaverse'!P31/1000</f>
        <v>31.20628936541681</v>
      </c>
      <c r="M12" s="159">
        <f>'DATA MetaMetaverse'!Q52*'DATA MetaMetaverse'!Q31/1000</f>
        <v>31.783605718677023</v>
      </c>
      <c r="N12" s="161">
        <f>'DATA MetaMetaverse'!R52*'DATA MetaMetaverse'!R31/1000</f>
        <v>32.37160242447255</v>
      </c>
      <c r="O12" s="159">
        <f>'DATA MetaMetaverse'!S52*'DATA MetaMetaverse'!S31/1000</f>
        <v>32.97047706932529</v>
      </c>
      <c r="P12" s="160">
        <f>'DATA MetaMetaverse'!T52*'DATA MetaMetaverse'!T31/1000</f>
        <v>33.58043089510781</v>
      </c>
      <c r="Q12" s="160">
        <f>'DATA MetaMetaverse'!U52*'DATA MetaMetaverse'!U31/1000</f>
        <v>34.201668866667305</v>
      </c>
      <c r="R12" s="160">
        <f>'DATA MetaMetaverse'!V52*'DATA MetaMetaverse'!V31/1000</f>
        <v>34.834399740700654</v>
      </c>
      <c r="S12" s="161">
        <f>'DATA MetaMetaverse'!W52*'DATA MetaMetaverse'!W31/1000</f>
        <v>35.47883613590362</v>
      </c>
      <c r="T12" s="441"/>
    </row>
    <row r="13" spans="1:20" ht="15" customHeight="1">
      <c r="A13" s="362" t="s">
        <v>86</v>
      </c>
      <c r="B13" s="160">
        <f>'DATA MetaMetaverse'!F53*'DATA MetaMetaverse'!F32/1000</f>
        <v>16.675133187623793</v>
      </c>
      <c r="C13" s="160">
        <f>'DATA MetaMetaverse'!G53*'DATA MetaMetaverse'!G32/1000</f>
        <v>14.67411720510894</v>
      </c>
      <c r="D13" s="160">
        <f>'DATA MetaMetaverse'!H53*'DATA MetaMetaverse'!H32/1000</f>
        <v>12.913223140495866</v>
      </c>
      <c r="E13" s="160">
        <f>'DATA MetaMetaverse'!I53*'DATA MetaMetaverse'!I32/1000</f>
        <v>11.363636363636362</v>
      </c>
      <c r="F13" s="160">
        <f>'DATA MetaMetaverse'!J53*'DATA MetaMetaverse'!J32/1000</f>
        <v>10</v>
      </c>
      <c r="G13" s="160">
        <f>'DATA MetaMetaverse'!K53*'DATA MetaMetaverse'!K32/1000</f>
        <v>9.74</v>
      </c>
      <c r="H13" s="160">
        <f>'DATA MetaMetaverse'!L53*'DATA MetaMetaverse'!L32/1000</f>
        <v>8.38</v>
      </c>
      <c r="I13" s="160">
        <f>'DATA MetaMetaverse'!M53*'DATA MetaMetaverse'!M32/1000</f>
        <v>7.206799999999999</v>
      </c>
      <c r="J13" s="160">
        <f>'DATA MetaMetaverse'!N53*'DATA MetaMetaverse'!N32/1000</f>
        <v>6.197847999999999</v>
      </c>
      <c r="K13" s="160">
        <f>'DATA MetaMetaverse'!O53*'DATA MetaMetaverse'!O32/1000</f>
        <v>5.33014928</v>
      </c>
      <c r="L13" s="160">
        <f>'DATA MetaMetaverse'!P53*'DATA MetaMetaverse'!P32/1000</f>
        <v>4.583928380799999</v>
      </c>
      <c r="M13" s="159">
        <f>'DATA MetaMetaverse'!Q53*'DATA MetaMetaverse'!Q32/1000</f>
        <v>3.942178407487999</v>
      </c>
      <c r="N13" s="161">
        <f>'DATA MetaMetaverse'!R53*'DATA MetaMetaverse'!R32/1000</f>
        <v>3.390273430439679</v>
      </c>
      <c r="O13" s="159">
        <f>'DATA MetaMetaverse'!S53*'DATA MetaMetaverse'!S32/1000</f>
        <v>2.9156351501781237</v>
      </c>
      <c r="P13" s="160">
        <f>'DATA MetaMetaverse'!T53*'DATA MetaMetaverse'!T32/1000</f>
        <v>2.5074462291531865</v>
      </c>
      <c r="Q13" s="160">
        <f>'DATA MetaMetaverse'!U53*'DATA MetaMetaverse'!U32/1000</f>
        <v>2.15640375707174</v>
      </c>
      <c r="R13" s="160">
        <f>'DATA MetaMetaverse'!V53*'DATA MetaMetaverse'!V32/1000</f>
        <v>1.8545072310816966</v>
      </c>
      <c r="S13" s="161">
        <f>'DATA MetaMetaverse'!W53*'DATA MetaMetaverse'!W32/1000</f>
        <v>1.594876218730259</v>
      </c>
      <c r="T13" s="441"/>
    </row>
    <row r="14" spans="1:25" ht="15" customHeight="1">
      <c r="A14" s="362" t="s">
        <v>88</v>
      </c>
      <c r="B14" s="160">
        <f>'DATA MetaMetaverse'!F54*'DATA MetaMetaverse'!F33/1000</f>
        <v>0.5134809286238284</v>
      </c>
      <c r="C14" s="160">
        <f>'DATA MetaMetaverse'!G54*'DATA MetaMetaverse'!G33/1000</f>
        <v>0.6631606193176743</v>
      </c>
      <c r="D14" s="160">
        <f>'DATA MetaMetaverse'!H54*'DATA MetaMetaverse'!H33/1000</f>
        <v>0.8564719398487765</v>
      </c>
      <c r="E14" s="160">
        <f>'DATA MetaMetaverse'!I54*'DATA MetaMetaverse'!I33/1000</f>
        <v>1.1061335103146948</v>
      </c>
      <c r="F14" s="160">
        <f>'DATA MetaMetaverse'!J54*'DATA MetaMetaverse'!J33/1000</f>
        <v>1.4285714285714284</v>
      </c>
      <c r="G14" s="160">
        <f>'DATA MetaMetaverse'!K54*'DATA MetaMetaverse'!K33/1000</f>
        <v>1.7142857142857142</v>
      </c>
      <c r="H14" s="160">
        <f>'DATA MetaMetaverse'!L54*'DATA MetaMetaverse'!L33/1000</f>
        <v>2.1</v>
      </c>
      <c r="I14" s="160">
        <f>'DATA MetaMetaverse'!M54*'DATA MetaMetaverse'!M33/1000</f>
        <v>2.6901</v>
      </c>
      <c r="J14" s="160">
        <f>'DATA MetaMetaverse'!N54*'DATA MetaMetaverse'!N33/1000</f>
        <v>3.4460181000000003</v>
      </c>
      <c r="K14" s="160">
        <f>'DATA MetaMetaverse'!O54*'DATA MetaMetaverse'!O33/1000</f>
        <v>4.4143491861</v>
      </c>
      <c r="L14" s="160">
        <f>'DATA MetaMetaverse'!P54*'DATA MetaMetaverse'!P33/1000</f>
        <v>5.6547813073941</v>
      </c>
      <c r="M14" s="159">
        <f>'DATA MetaMetaverse'!Q54*'DATA MetaMetaverse'!Q33/1000</f>
        <v>9.816700349636157</v>
      </c>
      <c r="N14" s="161">
        <f>'DATA MetaMetaverse'!R54*'DATA MetaMetaverse'!R33/1000</f>
        <v>17.041791806968366</v>
      </c>
      <c r="O14" s="159">
        <f>'DATA MetaMetaverse'!S54*'DATA MetaMetaverse'!S33/1000</f>
        <v>28.441323085991048</v>
      </c>
      <c r="P14" s="160">
        <f>'DATA MetaMetaverse'!T54*'DATA MetaMetaverse'!T33/1000</f>
        <v>47.466185952991495</v>
      </c>
      <c r="Q14" s="160">
        <f>'DATA MetaMetaverse'!U54*'DATA MetaMetaverse'!U33/1000</f>
        <v>79.21708853389158</v>
      </c>
      <c r="R14" s="160">
        <f>'DATA MetaMetaverse'!V54*'DATA MetaMetaverse'!V33/1000</f>
        <v>132.20668544974848</v>
      </c>
      <c r="S14" s="161">
        <f>'DATA MetaMetaverse'!W54*'DATA MetaMetaverse'!W33/1000</f>
        <v>220.64188423348622</v>
      </c>
      <c r="T14" s="441"/>
      <c r="V14" s="208"/>
      <c r="W14" s="208"/>
      <c r="X14" s="208"/>
      <c r="Y14" s="208"/>
    </row>
    <row r="15" spans="1:25" ht="15" customHeight="1">
      <c r="A15" s="362" t="s">
        <v>90</v>
      </c>
      <c r="B15" s="160">
        <f>'DATA MetaMetaverse'!F55*'DATA MetaMetaverse'!F34/1000</f>
        <v>131.63532048854086</v>
      </c>
      <c r="C15" s="160">
        <f>'DATA MetaMetaverse'!G55*'DATA MetaMetaverse'!G34/1000</f>
        <v>144.79885253739494</v>
      </c>
      <c r="D15" s="160">
        <f>'DATA MetaMetaverse'!H55*'DATA MetaMetaverse'!H34/1000</f>
        <v>159.27873779113443</v>
      </c>
      <c r="E15" s="160">
        <f>'DATA MetaMetaverse'!I55*'DATA MetaMetaverse'!I34/1000</f>
        <v>175.20661157024787</v>
      </c>
      <c r="F15" s="160">
        <f>'DATA MetaMetaverse'!J55*'DATA MetaMetaverse'!J34/1000</f>
        <v>192.7272727272727</v>
      </c>
      <c r="G15" s="160">
        <f>'DATA MetaMetaverse'!K55*'DATA MetaMetaverse'!K34/1000</f>
        <v>216.81818181818178</v>
      </c>
      <c r="H15" s="160">
        <f>'DATA MetaMetaverse'!L55*'DATA MetaMetaverse'!L34/1000</f>
        <v>243.8</v>
      </c>
      <c r="I15" s="160">
        <f>'DATA MetaMetaverse'!M55*'DATA MetaMetaverse'!M34/1000</f>
        <v>260.866</v>
      </c>
      <c r="J15" s="160">
        <f>'DATA MetaMetaverse'!N55*'DATA MetaMetaverse'!N34/1000</f>
        <v>279.12662</v>
      </c>
      <c r="K15" s="160">
        <f>'DATA MetaMetaverse'!O55*'DATA MetaMetaverse'!O34/1000</f>
        <v>298.6654834</v>
      </c>
      <c r="L15" s="160">
        <f>'DATA MetaMetaverse'!P55*'DATA MetaMetaverse'!P34/1000</f>
        <v>319.5720672380001</v>
      </c>
      <c r="M15" s="159">
        <f>'DATA MetaMetaverse'!Q55*'DATA MetaMetaverse'!Q34/1000</f>
        <v>341.94211194466016</v>
      </c>
      <c r="N15" s="161">
        <f>'DATA MetaMetaverse'!R55*'DATA MetaMetaverse'!R34/1000</f>
        <v>365.8780597807863</v>
      </c>
      <c r="O15" s="159">
        <f>'DATA MetaMetaverse'!S55*'DATA MetaMetaverse'!S34/1000</f>
        <v>391.48952396544144</v>
      </c>
      <c r="P15" s="160">
        <f>'DATA MetaMetaverse'!T55*'DATA MetaMetaverse'!T34/1000</f>
        <v>418.8937906430224</v>
      </c>
      <c r="Q15" s="160">
        <f>'DATA MetaMetaverse'!U55*'DATA MetaMetaverse'!U34/1000</f>
        <v>448.21635598803397</v>
      </c>
      <c r="R15" s="160">
        <f>'DATA MetaMetaverse'!V55*'DATA MetaMetaverse'!V34/1000</f>
        <v>479.59150090719635</v>
      </c>
      <c r="S15" s="161">
        <f>'DATA MetaMetaverse'!W55*'DATA MetaMetaverse'!W34/1000</f>
        <v>513.1629059707002</v>
      </c>
      <c r="T15" s="441"/>
      <c r="V15" s="208"/>
      <c r="W15" s="208"/>
      <c r="X15" s="208"/>
      <c r="Y15" s="208"/>
    </row>
    <row r="16" spans="1:25" ht="15" customHeight="1">
      <c r="A16" s="362" t="s">
        <v>92</v>
      </c>
      <c r="B16" s="160">
        <f>'DATA MetaMetaverse'!F56*'DATA MetaMetaverse'!F35/1000</f>
        <v>8.496876708272591</v>
      </c>
      <c r="C16" s="160">
        <f>'DATA MetaMetaverse'!G56*'DATA MetaMetaverse'!G35/1000</f>
        <v>9.516501913265303</v>
      </c>
      <c r="D16" s="160">
        <f>'DATA MetaMetaverse'!H56*'DATA MetaMetaverse'!H35/1000</f>
        <v>10.65848214285714</v>
      </c>
      <c r="E16" s="160">
        <f>'DATA MetaMetaverse'!I56*'DATA MetaMetaverse'!I35/1000</f>
        <v>11.9375</v>
      </c>
      <c r="F16" s="160">
        <f>'DATA MetaMetaverse'!J56*'DATA MetaMetaverse'!J35/1000</f>
        <v>13.37</v>
      </c>
      <c r="G16" s="160">
        <f>'DATA MetaMetaverse'!K56*'DATA MetaMetaverse'!K35/1000</f>
        <v>15</v>
      </c>
      <c r="H16" s="160">
        <f>'DATA MetaMetaverse'!L56*'DATA MetaMetaverse'!L35/1000</f>
        <v>16.8</v>
      </c>
      <c r="I16" s="160">
        <f>'DATA MetaMetaverse'!M56*'DATA MetaMetaverse'!M35/1000</f>
        <v>17.297280000000004</v>
      </c>
      <c r="J16" s="160">
        <f>'DATA MetaMetaverse'!N56*'DATA MetaMetaverse'!N35/1000</f>
        <v>17.809279488000005</v>
      </c>
      <c r="K16" s="160">
        <f>'DATA MetaMetaverse'!O56*'DATA MetaMetaverse'!O35/1000</f>
        <v>18.336434160844806</v>
      </c>
      <c r="L16" s="160">
        <f>'DATA MetaMetaverse'!P56*'DATA MetaMetaverse'!P35/1000</f>
        <v>18.879192612005813</v>
      </c>
      <c r="M16" s="159">
        <f>'DATA MetaMetaverse'!Q56*'DATA MetaMetaverse'!Q35/1000</f>
        <v>19.438016713321186</v>
      </c>
      <c r="N16" s="161">
        <f>'DATA MetaMetaverse'!R56*'DATA MetaMetaverse'!R35/1000</f>
        <v>20.013382008035492</v>
      </c>
      <c r="O16" s="159">
        <f>'DATA MetaMetaverse'!S56*'DATA MetaMetaverse'!S35/1000</f>
        <v>20.60577811547334</v>
      </c>
      <c r="P16" s="160">
        <f>'DATA MetaMetaverse'!T56*'DATA MetaMetaverse'!T35/1000</f>
        <v>21.21570914769135</v>
      </c>
      <c r="Q16" s="160">
        <f>'DATA MetaMetaverse'!U56*'DATA MetaMetaverse'!U35/1000</f>
        <v>21.843694138463015</v>
      </c>
      <c r="R16" s="160">
        <f>'DATA MetaMetaverse'!V56*'DATA MetaMetaverse'!V35/1000</f>
        <v>22.49026748496152</v>
      </c>
      <c r="S16" s="161">
        <f>'DATA MetaMetaverse'!W56*'DATA MetaMetaverse'!W35/1000</f>
        <v>23.155979402516387</v>
      </c>
      <c r="T16" s="441"/>
      <c r="V16" s="208"/>
      <c r="W16" s="208"/>
      <c r="X16" s="208"/>
      <c r="Y16" s="208"/>
    </row>
    <row r="17" spans="1:25" ht="15" customHeight="1">
      <c r="A17" s="362" t="s">
        <v>94</v>
      </c>
      <c r="B17" s="160">
        <f>'DATA MetaMetaverse'!F57*'DATA MetaMetaverse'!F36/1000</f>
        <v>4.44981948512768</v>
      </c>
      <c r="C17" s="160">
        <f>'DATA MetaMetaverse'!G57*'DATA MetaMetaverse'!G36/1000</f>
        <v>4.494317679978957</v>
      </c>
      <c r="D17" s="160">
        <f>'DATA MetaMetaverse'!H57*'DATA MetaMetaverse'!H36/1000</f>
        <v>4.539260856778746</v>
      </c>
      <c r="E17" s="160">
        <f>'DATA MetaMetaverse'!I57*'DATA MetaMetaverse'!I36/1000</f>
        <v>4.584653465346534</v>
      </c>
      <c r="F17" s="160">
        <f>'DATA MetaMetaverse'!J57*'DATA MetaMetaverse'!J36/1000</f>
        <v>4.6305</v>
      </c>
      <c r="G17" s="160">
        <f>'DATA MetaMetaverse'!K57*'DATA MetaMetaverse'!K36/1000</f>
        <v>5.04</v>
      </c>
      <c r="H17" s="160">
        <f>'DATA MetaMetaverse'!L57*'DATA MetaMetaverse'!L36/1000</f>
        <v>4.44</v>
      </c>
      <c r="I17" s="160">
        <f>'DATA MetaMetaverse'!M57*'DATA MetaMetaverse'!M36/1000</f>
        <v>4.61538</v>
      </c>
      <c r="J17" s="160">
        <f>'DATA MetaMetaverse'!N57*'DATA MetaMetaverse'!N36/1000</f>
        <v>4.79768751</v>
      </c>
      <c r="K17" s="160">
        <f>'DATA MetaMetaverse'!O57*'DATA MetaMetaverse'!O36/1000</f>
        <v>4.987196166645001</v>
      </c>
      <c r="L17" s="160">
        <f>'DATA MetaMetaverse'!P57*'DATA MetaMetaverse'!P36/1000</f>
        <v>5.184190415227478</v>
      </c>
      <c r="M17" s="159">
        <f>'DATA MetaMetaverse'!Q57*'DATA MetaMetaverse'!Q36/1000</f>
        <v>5.3889659366289635</v>
      </c>
      <c r="N17" s="161">
        <f>'DATA MetaMetaverse'!R57*'DATA MetaMetaverse'!R36/1000</f>
        <v>5.601830091125809</v>
      </c>
      <c r="O17" s="159">
        <f>'DATA MetaMetaverse'!S57*'DATA MetaMetaverse'!S36/1000</f>
        <v>5.823102379725278</v>
      </c>
      <c r="P17" s="160">
        <f>'DATA MetaMetaverse'!T57*'DATA MetaMetaverse'!T36/1000</f>
        <v>6.0531149237244275</v>
      </c>
      <c r="Q17" s="160">
        <f>'DATA MetaMetaverse'!U57*'DATA MetaMetaverse'!U36/1000</f>
        <v>6.292212963211542</v>
      </c>
      <c r="R17" s="160">
        <f>'DATA MetaMetaverse'!V57*'DATA MetaMetaverse'!V36/1000</f>
        <v>6.540755375258399</v>
      </c>
      <c r="S17" s="161">
        <f>'DATA MetaMetaverse'!W57*'DATA MetaMetaverse'!W36/1000</f>
        <v>6.799115212581107</v>
      </c>
      <c r="T17" s="441"/>
      <c r="V17" s="208"/>
      <c r="W17" s="208"/>
      <c r="X17" s="208"/>
      <c r="Y17" s="208"/>
    </row>
    <row r="18" spans="1:25" ht="15" customHeight="1">
      <c r="A18" s="362" t="s">
        <v>96</v>
      </c>
      <c r="B18" s="160">
        <f>'DATA MetaMetaverse'!F58*'DATA MetaMetaverse'!F37/1000</f>
        <v>8.4</v>
      </c>
      <c r="C18" s="160">
        <f>'DATA MetaMetaverse'!G58*'DATA MetaMetaverse'!G37/1000</f>
        <v>8.4</v>
      </c>
      <c r="D18" s="160">
        <f>'DATA MetaMetaverse'!H58*'DATA MetaMetaverse'!H37/1000</f>
        <v>8.4</v>
      </c>
      <c r="E18" s="160">
        <f>'DATA MetaMetaverse'!I58*'DATA MetaMetaverse'!I37/1000</f>
        <v>8.4</v>
      </c>
      <c r="F18" s="160">
        <f>'DATA MetaMetaverse'!J58*'DATA MetaMetaverse'!J37/1000</f>
        <v>8.4</v>
      </c>
      <c r="G18" s="160">
        <f>'DATA MetaMetaverse'!K58*'DATA MetaMetaverse'!K37/1000</f>
        <v>8.4</v>
      </c>
      <c r="H18" s="160">
        <f>'DATA MetaMetaverse'!L58*'DATA MetaMetaverse'!L37/1000</f>
        <v>8.4</v>
      </c>
      <c r="I18" s="160">
        <f>'DATA MetaMetaverse'!M58*'DATA MetaMetaverse'!M37/1000</f>
        <v>8.316</v>
      </c>
      <c r="J18" s="160">
        <f>'DATA MetaMetaverse'!N58*'DATA MetaMetaverse'!N37/1000</f>
        <v>8.23284</v>
      </c>
      <c r="K18" s="160">
        <f>'DATA MetaMetaverse'!O58*'DATA MetaMetaverse'!O37/1000</f>
        <v>8.1505116</v>
      </c>
      <c r="L18" s="160">
        <f>'DATA MetaMetaverse'!P58*'DATA MetaMetaverse'!P37/1000</f>
        <v>8.069006483999999</v>
      </c>
      <c r="M18" s="159">
        <f>'DATA MetaMetaverse'!Q58*'DATA MetaMetaverse'!Q37/1000</f>
        <v>7.988316419159999</v>
      </c>
      <c r="N18" s="161">
        <f>'DATA MetaMetaverse'!R58*'DATA MetaMetaverse'!R37/1000</f>
        <v>7.9084332549684</v>
      </c>
      <c r="O18" s="159">
        <f>'DATA MetaMetaverse'!S58*'DATA MetaMetaverse'!S37/1000</f>
        <v>7.829348922418716</v>
      </c>
      <c r="P18" s="160">
        <f>'DATA MetaMetaverse'!T58*'DATA MetaMetaverse'!T37/1000</f>
        <v>7.751055433194528</v>
      </c>
      <c r="Q18" s="160">
        <f>'DATA MetaMetaverse'!U58*'DATA MetaMetaverse'!U37/1000</f>
        <v>7.673544878862583</v>
      </c>
      <c r="R18" s="160">
        <f>'DATA MetaMetaverse'!V58*'DATA MetaMetaverse'!V37/1000</f>
        <v>7.596809430073957</v>
      </c>
      <c r="S18" s="161">
        <f>'DATA MetaMetaverse'!W58*'DATA MetaMetaverse'!W37/1000</f>
        <v>7.520841335773219</v>
      </c>
      <c r="T18" s="441"/>
      <c r="V18" s="208"/>
      <c r="W18" s="208"/>
      <c r="X18" s="208"/>
      <c r="Y18" s="208"/>
    </row>
    <row r="19" spans="1:25" ht="15" customHeight="1">
      <c r="A19" s="362" t="s">
        <v>5</v>
      </c>
      <c r="B19" s="160">
        <f>'DATA MetaMetaverse'!F59*'DATA MetaMetaverse'!F38/1000</f>
        <v>0</v>
      </c>
      <c r="C19" s="160">
        <f>'DATA MetaMetaverse'!G59*'DATA MetaMetaverse'!G38/1000</f>
        <v>0</v>
      </c>
      <c r="D19" s="160">
        <f>'DATA MetaMetaverse'!H59*'DATA MetaMetaverse'!H38/1000</f>
        <v>0</v>
      </c>
      <c r="E19" s="160">
        <f>'DATA MetaMetaverse'!I59*'DATA MetaMetaverse'!I38/1000</f>
        <v>0</v>
      </c>
      <c r="F19" s="160">
        <f>'DATA MetaMetaverse'!J59*'DATA MetaMetaverse'!J38/1000</f>
        <v>0.0980296049406921</v>
      </c>
      <c r="G19" s="160">
        <f>'DATA MetaMetaverse'!K59*'DATA MetaMetaverse'!K38/1000</f>
        <v>0.19801980198019803</v>
      </c>
      <c r="H19" s="160">
        <f>'DATA MetaMetaverse'!L59*'DATA MetaMetaverse'!L38/1000</f>
        <v>0.3</v>
      </c>
      <c r="I19" s="160">
        <f>'DATA MetaMetaverse'!M59*'DATA MetaMetaverse'!M38/1000</f>
        <v>0.51603</v>
      </c>
      <c r="J19" s="160">
        <f>'DATA MetaMetaverse'!N59*'DATA MetaMetaverse'!N38/1000</f>
        <v>0.887623203</v>
      </c>
      <c r="K19" s="160">
        <f>'DATA MetaMetaverse'!O59*'DATA MetaMetaverse'!O38/1000</f>
        <v>1.5268006714803</v>
      </c>
      <c r="L19" s="160">
        <f>'DATA MetaMetaverse'!P59*'DATA MetaMetaverse'!P38/1000</f>
        <v>2.6262498350132635</v>
      </c>
      <c r="M19" s="159">
        <f>'DATA MetaMetaverse'!Q59*'DATA MetaMetaverse'!Q38/1000</f>
        <v>4.524788341605096</v>
      </c>
      <c r="N19" s="161">
        <f>'DATA MetaMetaverse'!R59*'DATA MetaMetaverse'!R38/1000</f>
        <v>7.795796600677177</v>
      </c>
      <c r="O19" s="159">
        <f>'DATA MetaMetaverse'!S59*'DATA MetaMetaverse'!S38/1000</f>
        <v>13.431444755175237</v>
      </c>
      <c r="P19" s="160">
        <f>'DATA MetaMetaverse'!T59*'DATA MetaMetaverse'!T38/1000</f>
        <v>23.141151244973955</v>
      </c>
      <c r="Q19" s="160">
        <f>'DATA MetaMetaverse'!U59*'DATA MetaMetaverse'!U38/1000</f>
        <v>39.87008774587874</v>
      </c>
      <c r="R19" s="160">
        <f>'DATA MetaMetaverse'!V59*'DATA MetaMetaverse'!V38/1000</f>
        <v>68.69251577141488</v>
      </c>
      <c r="S19" s="161">
        <f>'DATA MetaMetaverse'!W59*'DATA MetaMetaverse'!W38/1000</f>
        <v>118.35092395786954</v>
      </c>
      <c r="T19" s="441"/>
      <c r="V19" s="208"/>
      <c r="W19" s="208"/>
      <c r="X19" s="208"/>
      <c r="Y19" s="208"/>
    </row>
    <row r="20" spans="1:25" ht="15" customHeight="1">
      <c r="A20" s="362" t="s">
        <v>33</v>
      </c>
      <c r="B20" s="160">
        <f>'DATA MetaMetaverse'!F60*'DATA MetaMetaverse'!F39/1000</f>
        <v>0</v>
      </c>
      <c r="C20" s="160">
        <f>'DATA MetaMetaverse'!G60*'DATA MetaMetaverse'!G39/1000</f>
        <v>0</v>
      </c>
      <c r="D20" s="160">
        <f>'DATA MetaMetaverse'!H60*'DATA MetaMetaverse'!H39/1000</f>
        <v>0</v>
      </c>
      <c r="E20" s="160">
        <f>'DATA MetaMetaverse'!I60*'DATA MetaMetaverse'!I39/1000</f>
        <v>0</v>
      </c>
      <c r="F20" s="160">
        <f>'DATA MetaMetaverse'!J60*'DATA MetaMetaverse'!J39/1000</f>
        <v>6.032613818456028</v>
      </c>
      <c r="G20" s="160">
        <f>'DATA MetaMetaverse'!K60*'DATA MetaMetaverse'!K39/1000</f>
        <v>9.70873786407767</v>
      </c>
      <c r="H20" s="160">
        <f>'DATA MetaMetaverse'!L60*'DATA MetaMetaverse'!L39/1000</f>
        <v>11.2</v>
      </c>
      <c r="I20" s="160">
        <f>'DATA MetaMetaverse'!M60*'DATA MetaMetaverse'!M39/1000</f>
        <v>13.72784</v>
      </c>
      <c r="J20" s="160">
        <f>'DATA MetaMetaverse'!N60*'DATA MetaMetaverse'!N39/1000</f>
        <v>16.826213488</v>
      </c>
      <c r="K20" s="160">
        <f>'DATA MetaMetaverse'!O60*'DATA MetaMetaverse'!O39/1000</f>
        <v>20.6238898722416</v>
      </c>
      <c r="L20" s="160">
        <f>'DATA MetaMetaverse'!P60*'DATA MetaMetaverse'!P39/1000</f>
        <v>25.27870181640653</v>
      </c>
      <c r="M20" s="159">
        <f>'DATA MetaMetaverse'!Q60*'DATA MetaMetaverse'!Q39/1000</f>
        <v>30.98410481636948</v>
      </c>
      <c r="N20" s="161">
        <f>'DATA MetaMetaverse'!R60*'DATA MetaMetaverse'!R39/1000</f>
        <v>37.97721727342407</v>
      </c>
      <c r="O20" s="159">
        <f>'DATA MetaMetaverse'!S60*'DATA MetaMetaverse'!S39/1000</f>
        <v>46.54867521203589</v>
      </c>
      <c r="P20" s="160">
        <f>'DATA MetaMetaverse'!T60*'DATA MetaMetaverse'!T39/1000</f>
        <v>57.05471120739239</v>
      </c>
      <c r="Q20" s="160">
        <f>'DATA MetaMetaverse'!U60*'DATA MetaMetaverse'!U39/1000</f>
        <v>69.93195952690084</v>
      </c>
      <c r="R20" s="160">
        <f>'DATA MetaMetaverse'!V60*'DATA MetaMetaverse'!V39/1000</f>
        <v>85.71560279212237</v>
      </c>
      <c r="S20" s="161">
        <f>'DATA MetaMetaverse'!W60*'DATA MetaMetaverse'!W39/1000</f>
        <v>105.06161434230438</v>
      </c>
      <c r="T20" s="441"/>
      <c r="V20" s="208"/>
      <c r="W20" s="208"/>
      <c r="X20" s="208"/>
      <c r="Y20" s="208"/>
    </row>
    <row r="21" spans="1:25" ht="15" customHeight="1">
      <c r="A21" s="362" t="s">
        <v>101</v>
      </c>
      <c r="B21" s="160">
        <f>'DATA MetaMetaverse'!F61*'DATA MetaMetaverse'!F40/1000</f>
        <v>0</v>
      </c>
      <c r="C21" s="160">
        <f>'DATA MetaMetaverse'!G61*'DATA MetaMetaverse'!G40/1000</f>
        <v>2.017994299942253</v>
      </c>
      <c r="D21" s="160">
        <f>'DATA MetaMetaverse'!H61*'DATA MetaMetaverse'!H40/1000</f>
        <v>2.3973772283313974</v>
      </c>
      <c r="E21" s="160">
        <f>'DATA MetaMetaverse'!I61*'DATA MetaMetaverse'!I40/1000</f>
        <v>2.9301277235161525</v>
      </c>
      <c r="F21" s="160">
        <f>'DATA MetaMetaverse'!J61*'DATA MetaMetaverse'!J40/1000</f>
        <v>3.438016528925619</v>
      </c>
      <c r="G21" s="160">
        <f>'DATA MetaMetaverse'!K61*'DATA MetaMetaverse'!K40/1000</f>
        <v>4.136363636363636</v>
      </c>
      <c r="H21" s="160">
        <f>'DATA MetaMetaverse'!L61*'DATA MetaMetaverse'!L40/1000</f>
        <v>4.94</v>
      </c>
      <c r="I21" s="160">
        <f>'DATA MetaMetaverse'!M61*'DATA MetaMetaverse'!M40/1000</f>
        <v>5.814379999999999</v>
      </c>
      <c r="J21" s="160">
        <f>'DATA MetaMetaverse'!N61*'DATA MetaMetaverse'!N40/1000</f>
        <v>6.843525260000001</v>
      </c>
      <c r="K21" s="160">
        <f>'DATA MetaMetaverse'!O61*'DATA MetaMetaverse'!O40/1000</f>
        <v>8.054829231020003</v>
      </c>
      <c r="L21" s="160">
        <f>'DATA MetaMetaverse'!P61*'DATA MetaMetaverse'!P40/1000</f>
        <v>9.480534004910544</v>
      </c>
      <c r="M21" s="159">
        <f>'DATA MetaMetaverse'!Q61*'DATA MetaMetaverse'!Q40/1000</f>
        <v>11.158588523779711</v>
      </c>
      <c r="N21" s="161">
        <f>'DATA MetaMetaverse'!R61*'DATA MetaMetaverse'!R40/1000</f>
        <v>13.133658692488721</v>
      </c>
      <c r="O21" s="159">
        <f>'DATA MetaMetaverse'!S61*'DATA MetaMetaverse'!S40/1000</f>
        <v>15.45831628105923</v>
      </c>
      <c r="P21" s="160">
        <f>'DATA MetaMetaverse'!T61*'DATA MetaMetaverse'!T40/1000</f>
        <v>18.194438262806713</v>
      </c>
      <c r="Q21" s="160">
        <f>'DATA MetaMetaverse'!U61*'DATA MetaMetaverse'!U40/1000</f>
        <v>21.41485383532351</v>
      </c>
      <c r="R21" s="160">
        <f>'DATA MetaMetaverse'!V61*'DATA MetaMetaverse'!V40/1000</f>
        <v>25.205282964175773</v>
      </c>
      <c r="S21" s="161">
        <f>'DATA MetaMetaverse'!W61*'DATA MetaMetaverse'!W40/1000</f>
        <v>29.666618048834884</v>
      </c>
      <c r="T21" s="441"/>
      <c r="V21" s="208"/>
      <c r="W21" s="208"/>
      <c r="X21" s="208"/>
      <c r="Y21" s="208"/>
    </row>
    <row r="22" spans="1:25" ht="15" customHeight="1">
      <c r="A22" s="363" t="s">
        <v>16</v>
      </c>
      <c r="B22" s="220">
        <f>'DATA MetaMetaverse'!F62*'DATA MetaMetaverse'!F41/1000</f>
        <v>0</v>
      </c>
      <c r="C22" s="220">
        <f>'DATA MetaMetaverse'!G62*'DATA MetaMetaverse'!G41/1000</f>
        <v>0.04313043921920819</v>
      </c>
      <c r="D22" s="220">
        <f>'DATA MetaMetaverse'!H62*'DATA MetaMetaverse'!H41/1000</f>
        <v>0.13327305718735333</v>
      </c>
      <c r="E22" s="220">
        <f>'DATA MetaMetaverse'!I62*'DATA MetaMetaverse'!I41/1000</f>
        <v>0.22878541483828985</v>
      </c>
      <c r="F22" s="220">
        <f>'DATA MetaMetaverse'!J62*'DATA MetaMetaverse'!J41/1000</f>
        <v>0.47129795456687706</v>
      </c>
      <c r="G22" s="220">
        <f>'DATA MetaMetaverse'!K62*'DATA MetaMetaverse'!K41/1000</f>
        <v>0.7766990291262136</v>
      </c>
      <c r="H22" s="220">
        <f>'DATA MetaMetaverse'!L62*'DATA MetaMetaverse'!L41/1000</f>
        <v>1.25</v>
      </c>
      <c r="I22" s="220">
        <f>'DATA MetaMetaverse'!M62*'DATA MetaMetaverse'!M41/1000</f>
        <v>1.6065</v>
      </c>
      <c r="J22" s="220">
        <f>'DATA MetaMetaverse'!N62*'DATA MetaMetaverse'!N41/1000</f>
        <v>2.0646738</v>
      </c>
      <c r="K22" s="220">
        <f>'DATA MetaMetaverse'!O62*'DATA MetaMetaverse'!O41/1000</f>
        <v>2.65351876776</v>
      </c>
      <c r="L22" s="220">
        <f>'DATA MetaMetaverse'!P62*'DATA MetaMetaverse'!P41/1000</f>
        <v>3.410302320325152</v>
      </c>
      <c r="M22" s="219">
        <f>'DATA MetaMetaverse'!Q62*'DATA MetaMetaverse'!Q41/1000</f>
        <v>4.4524907094165185</v>
      </c>
      <c r="N22" s="222">
        <f>'DATA MetaMetaverse'!R62*'DATA MetaMetaverse'!R41/1000</f>
        <v>5.813171870214207</v>
      </c>
      <c r="O22" s="159">
        <f>'DATA MetaMetaverse'!S62*'DATA MetaMetaverse'!S41/1000</f>
        <v>7.589677193751668</v>
      </c>
      <c r="P22" s="160">
        <f>'DATA MetaMetaverse'!T62*'DATA MetaMetaverse'!T41/1000</f>
        <v>9.909082544162178</v>
      </c>
      <c r="Q22" s="160">
        <f>'DATA MetaMetaverse'!U62*'DATA MetaMetaverse'!U41/1000</f>
        <v>12.937298169658138</v>
      </c>
      <c r="R22" s="160">
        <f>'DATA MetaMetaverse'!V62*'DATA MetaMetaverse'!V41/1000</f>
        <v>16.89093649030567</v>
      </c>
      <c r="S22" s="161">
        <f>'DATA MetaMetaverse'!W62*'DATA MetaMetaverse'!W41/1000</f>
        <v>22.052806681743085</v>
      </c>
      <c r="T22" s="441"/>
      <c r="V22" s="208"/>
      <c r="W22" s="208"/>
      <c r="X22" s="208"/>
      <c r="Y22" s="208"/>
    </row>
    <row r="23" spans="1:20" ht="15" customHeight="1">
      <c r="A23" s="361" t="s">
        <v>172</v>
      </c>
      <c r="B23" s="163">
        <f aca="true" t="shared" si="0" ref="B23:G24">B49*0.3</f>
        <v>12.154644329861112</v>
      </c>
      <c r="C23" s="163">
        <f t="shared" si="0"/>
        <v>11.548086874999997</v>
      </c>
      <c r="D23" s="163">
        <f t="shared" si="0"/>
        <v>12.939236496516296</v>
      </c>
      <c r="E23" s="163">
        <f t="shared" si="0"/>
        <v>12.534644249999998</v>
      </c>
      <c r="F23" s="163">
        <f t="shared" si="0"/>
        <v>13.0645375</v>
      </c>
      <c r="G23" s="163">
        <f t="shared" si="0"/>
        <v>14.546418</v>
      </c>
      <c r="H23" s="364">
        <f aca="true" t="shared" si="1" ref="H23:H24">H49*0.3</f>
        <v>15.720638984999997</v>
      </c>
      <c r="I23" s="163">
        <f aca="true" t="shared" si="2" ref="I23:S24">I49*0.3</f>
        <v>16.771401472473002</v>
      </c>
      <c r="J23" s="163">
        <f t="shared" si="2"/>
        <v>18.02859371354011</v>
      </c>
      <c r="K23" s="163">
        <f t="shared" si="2"/>
        <v>19.512690540391667</v>
      </c>
      <c r="L23" s="163">
        <f t="shared" si="2"/>
        <v>21.247711092481474</v>
      </c>
      <c r="M23" s="162">
        <f t="shared" si="2"/>
        <v>22.973604351917906</v>
      </c>
      <c r="N23" s="163">
        <f t="shared" si="2"/>
        <v>24.855511251560465</v>
      </c>
      <c r="O23" s="162">
        <f t="shared" si="2"/>
        <v>28.680643500680254</v>
      </c>
      <c r="P23" s="163">
        <f t="shared" si="2"/>
        <v>33.10660019753199</v>
      </c>
      <c r="Q23" s="163">
        <f t="shared" si="2"/>
        <v>38.22898408348109</v>
      </c>
      <c r="R23" s="163">
        <f t="shared" si="2"/>
        <v>44.15873796038864</v>
      </c>
      <c r="S23" s="164">
        <f t="shared" si="2"/>
        <v>51.02461996328889</v>
      </c>
      <c r="T23" s="441"/>
    </row>
    <row r="24" spans="1:20" ht="15" customHeight="1">
      <c r="A24" s="363" t="s">
        <v>327</v>
      </c>
      <c r="B24" s="220">
        <f t="shared" si="0"/>
        <v>9.253198529647504</v>
      </c>
      <c r="C24" s="220">
        <f t="shared" si="0"/>
        <v>9.729105154626874</v>
      </c>
      <c r="D24" s="220">
        <f t="shared" si="0"/>
        <v>11.103042384720135</v>
      </c>
      <c r="E24" s="220">
        <f t="shared" si="0"/>
        <v>13.065367322501878</v>
      </c>
      <c r="F24" s="220">
        <f t="shared" si="0"/>
        <v>14.687950124612602</v>
      </c>
      <c r="G24" s="220">
        <f t="shared" si="0"/>
        <v>15.637219609765909</v>
      </c>
      <c r="H24" s="365">
        <f t="shared" si="1"/>
        <v>15.765148419237212</v>
      </c>
      <c r="I24" s="220">
        <f t="shared" si="2"/>
        <v>16.033155942364246</v>
      </c>
      <c r="J24" s="220">
        <f t="shared" si="2"/>
        <v>16.30571959338444</v>
      </c>
      <c r="K24" s="220">
        <f t="shared" si="2"/>
        <v>16.582916826471973</v>
      </c>
      <c r="L24" s="220">
        <f t="shared" si="2"/>
        <v>16.864826412521992</v>
      </c>
      <c r="M24" s="219">
        <f t="shared" si="2"/>
        <v>18.972929714087243</v>
      </c>
      <c r="N24" s="220">
        <f t="shared" si="2"/>
        <v>21.34454592834815</v>
      </c>
      <c r="O24" s="219">
        <f t="shared" si="2"/>
        <v>24.012614169391664</v>
      </c>
      <c r="P24" s="220">
        <f t="shared" si="2"/>
        <v>27.014190940565623</v>
      </c>
      <c r="Q24" s="220">
        <f t="shared" si="2"/>
        <v>30.390964808136328</v>
      </c>
      <c r="R24" s="220">
        <f t="shared" si="2"/>
        <v>34.18983540915337</v>
      </c>
      <c r="S24" s="222">
        <f t="shared" si="2"/>
        <v>38.46356483529754</v>
      </c>
      <c r="T24" s="441"/>
    </row>
    <row r="25" spans="1:20" ht="15" customHeight="1">
      <c r="A25" s="153" t="s">
        <v>328</v>
      </c>
      <c r="B25" s="366">
        <f>SUM(B6:B24)</f>
        <v>475.9553071458097</v>
      </c>
      <c r="C25" s="366">
        <f>SUM(C6:C24)</f>
        <v>497.8238809335922</v>
      </c>
      <c r="D25" s="366">
        <f>SUM(D6:D24)</f>
        <v>524.7230288628889</v>
      </c>
      <c r="E25" s="366">
        <f>SUM(E6:E24)</f>
        <v>554.7182315197635</v>
      </c>
      <c r="F25" s="366">
        <f>SUM(F6:F24)</f>
        <v>596.1994743269064</v>
      </c>
      <c r="G25" s="366">
        <f aca="true" t="shared" si="3" ref="G25:H25">SUM(G6:G24)</f>
        <v>638.013674571089</v>
      </c>
      <c r="H25" s="367">
        <f t="shared" si="3"/>
        <v>681.3533499042373</v>
      </c>
      <c r="I25" s="366">
        <f>SUM(I6:I24)</f>
        <v>703.3757975523373</v>
      </c>
      <c r="J25" s="366">
        <f aca="true" t="shared" si="4" ref="J25:K25">SUM(J6:J24)</f>
        <v>739.502796879327</v>
      </c>
      <c r="K25" s="366">
        <f t="shared" si="4"/>
        <v>779.8028153422214</v>
      </c>
      <c r="L25" s="366">
        <f>SUM(L6:L24)</f>
        <v>824.9277995899013</v>
      </c>
      <c r="M25" s="368">
        <f>SUM(M6:M24)</f>
        <v>879.9401429646479</v>
      </c>
      <c r="N25" s="369">
        <f>SUM(N6:N24)</f>
        <v>944.6525128722271</v>
      </c>
      <c r="O25" s="370">
        <f aca="true" t="shared" si="5" ref="O25:S25">SUM(O6:O24)</f>
        <v>1020.8734856865702</v>
      </c>
      <c r="P25" s="370">
        <f t="shared" si="5"/>
        <v>1115.5373254376468</v>
      </c>
      <c r="Q25" s="370">
        <f t="shared" si="5"/>
        <v>1237.685511240449</v>
      </c>
      <c r="R25" s="370">
        <f t="shared" si="5"/>
        <v>1402.098004400166</v>
      </c>
      <c r="S25" s="370">
        <f t="shared" si="5"/>
        <v>1633.1585921086287</v>
      </c>
      <c r="T25" s="441"/>
    </row>
    <row r="29" spans="1:14" ht="15" customHeight="1">
      <c r="A29" s="371"/>
      <c r="B29" s="372"/>
      <c r="C29" s="372"/>
      <c r="D29" s="372"/>
      <c r="E29" s="372"/>
      <c r="F29" s="372"/>
      <c r="G29" s="372"/>
      <c r="H29" s="373"/>
      <c r="I29" s="371"/>
      <c r="J29" s="371"/>
      <c r="K29" s="371"/>
      <c r="L29" s="371"/>
      <c r="M29" s="371"/>
      <c r="N29" s="371"/>
    </row>
    <row r="30" spans="1:14" ht="15" customHeight="1">
      <c r="A30" s="374"/>
      <c r="B30" s="375"/>
      <c r="C30" s="375"/>
      <c r="D30" s="375"/>
      <c r="E30" s="375"/>
      <c r="F30" s="375"/>
      <c r="G30" s="375"/>
      <c r="H30" s="376"/>
      <c r="I30" s="375"/>
      <c r="J30" s="375"/>
      <c r="K30" s="375"/>
      <c r="L30" s="375"/>
      <c r="M30" s="375"/>
      <c r="N30" s="375"/>
    </row>
    <row r="31" spans="1:19" ht="30" customHeight="1">
      <c r="A31" s="151" t="s">
        <v>329</v>
      </c>
      <c r="B31" s="153">
        <v>2013</v>
      </c>
      <c r="C31" s="152">
        <v>2014</v>
      </c>
      <c r="D31" s="152">
        <v>2015</v>
      </c>
      <c r="E31" s="152">
        <v>2016</v>
      </c>
      <c r="F31" s="152">
        <v>2017</v>
      </c>
      <c r="G31" s="152">
        <v>2018</v>
      </c>
      <c r="H31" s="360">
        <v>2019</v>
      </c>
      <c r="I31" s="152">
        <v>2020</v>
      </c>
      <c r="J31" s="152">
        <v>2021</v>
      </c>
      <c r="K31" s="152">
        <v>2022</v>
      </c>
      <c r="L31" s="154">
        <v>2023</v>
      </c>
      <c r="M31" s="153">
        <v>2024</v>
      </c>
      <c r="N31" s="154">
        <v>2025</v>
      </c>
      <c r="O31" s="153">
        <v>2026</v>
      </c>
      <c r="P31" s="152">
        <v>2027</v>
      </c>
      <c r="Q31" s="152">
        <v>2028</v>
      </c>
      <c r="R31" s="152">
        <v>2029</v>
      </c>
      <c r="S31" s="154">
        <v>2030</v>
      </c>
    </row>
    <row r="32" spans="1:25" s="143" customFormat="1" ht="15" customHeight="1">
      <c r="A32" s="155" t="s">
        <v>74</v>
      </c>
      <c r="B32" s="159">
        <f>'DATA MetaMetaverse'!F25*'DATA MetaMetaverse'!F66/1000</f>
        <v>194.77318998573043</v>
      </c>
      <c r="C32" s="160">
        <f>'DATA MetaMetaverse'!G25*'DATA MetaMetaverse'!G66/1000</f>
        <v>183.08679858658658</v>
      </c>
      <c r="D32" s="160">
        <f>'DATA MetaMetaverse'!H25*'DATA MetaMetaverse'!H66/1000</f>
        <v>172.10159067139136</v>
      </c>
      <c r="E32" s="160">
        <f>'DATA MetaMetaverse'!I25*'DATA MetaMetaverse'!I66/1000</f>
        <v>161.7754952311079</v>
      </c>
      <c r="F32" s="160">
        <f>'DATA MetaMetaverse'!J25*'DATA MetaMetaverse'!J66/1000</f>
        <v>152.0689655172414</v>
      </c>
      <c r="G32" s="160">
        <f>'DATA MetaMetaverse'!K25*'DATA MetaMetaverse'!K66/1000</f>
        <v>148.26724137931035</v>
      </c>
      <c r="H32" s="160">
        <f>'DATA MetaMetaverse'!L25*'DATA MetaMetaverse'!L66/1000</f>
        <v>144.5605603448276</v>
      </c>
      <c r="I32" s="160">
        <f>'DATA MetaMetaverse'!M25*'DATA MetaMetaverse'!M66/1000</f>
        <v>141.66934913793105</v>
      </c>
      <c r="J32" s="160">
        <f>'DATA MetaMetaverse'!N25*'DATA MetaMetaverse'!N66/1000</f>
        <v>138.8359621551724</v>
      </c>
      <c r="K32" s="160">
        <f>'DATA MetaMetaverse'!O25*'DATA MetaMetaverse'!O66/1000</f>
        <v>136.05924291206895</v>
      </c>
      <c r="L32" s="161">
        <f>'DATA MetaMetaverse'!P25*'DATA MetaMetaverse'!P66/1000</f>
        <v>133.33805805382758</v>
      </c>
      <c r="M32" s="159">
        <f>'DATA MetaMetaverse'!Q25*'DATA MetaMetaverse'!Q66/1000</f>
        <v>130.67129689275103</v>
      </c>
      <c r="N32" s="161">
        <f>'DATA MetaMetaverse'!R25*'DATA MetaMetaverse'!R66/1000</f>
        <v>128.05787095489598</v>
      </c>
      <c r="O32" s="159">
        <f>'DATA MetaMetaverse'!S25*'DATA MetaMetaverse'!S66/1000</f>
        <v>125.49671353579807</v>
      </c>
      <c r="P32" s="160">
        <f>'DATA MetaMetaverse'!T25*'DATA MetaMetaverse'!T66/1000</f>
        <v>122.9867792650821</v>
      </c>
      <c r="Q32" s="160">
        <f>'DATA MetaMetaverse'!U25*'DATA MetaMetaverse'!U66/1000</f>
        <v>120.52704367978046</v>
      </c>
      <c r="R32" s="160">
        <f>'DATA MetaMetaverse'!V25*'DATA MetaMetaverse'!V66/1000</f>
        <v>118.11650280618484</v>
      </c>
      <c r="S32" s="161">
        <f>'DATA MetaMetaverse'!W25*'DATA MetaMetaverse'!W66/1000</f>
        <v>115.75417275006113</v>
      </c>
      <c r="T32" s="143"/>
      <c r="U32" s="143"/>
      <c r="V32" s="143"/>
      <c r="W32" s="143"/>
      <c r="X32" s="143"/>
      <c r="Y32" s="143"/>
    </row>
    <row r="33" spans="1:19" ht="15" customHeight="1">
      <c r="A33" s="155" t="s">
        <v>76</v>
      </c>
      <c r="B33" s="159">
        <f>'DATA MetaMetaverse'!F26*'DATA MetaMetaverse'!F67/1000</f>
        <v>148.91148684804372</v>
      </c>
      <c r="C33" s="160">
        <f>'DATA MetaMetaverse'!G26*'DATA MetaMetaverse'!G67/1000</f>
        <v>151.77058739552615</v>
      </c>
      <c r="D33" s="160">
        <f>'DATA MetaMetaverse'!H26*'DATA MetaMetaverse'!H67/1000</f>
        <v>154.68458267352025</v>
      </c>
      <c r="E33" s="160">
        <f>'DATA MetaMetaverse'!I26*'DATA MetaMetaverse'!I67/1000</f>
        <v>157.65452666085187</v>
      </c>
      <c r="F33" s="160">
        <f>'DATA MetaMetaverse'!J26*'DATA MetaMetaverse'!J67/1000</f>
        <v>160.68149357274024</v>
      </c>
      <c r="G33" s="160">
        <f>'DATA MetaMetaverse'!K26*'DATA MetaMetaverse'!K67/1000</f>
        <v>167.10875331564986</v>
      </c>
      <c r="H33" s="160">
        <f>'DATA MetaMetaverse'!L26*'DATA MetaMetaverse'!L67/1000</f>
        <v>173.79310344827587</v>
      </c>
      <c r="I33" s="160">
        <f>'DATA MetaMetaverse'!M26*'DATA MetaMetaverse'!M67/1000</f>
        <v>182.48275862068968</v>
      </c>
      <c r="J33" s="160">
        <f>'DATA MetaMetaverse'!N26*'DATA MetaMetaverse'!N67/1000</f>
        <v>191.60689655172413</v>
      </c>
      <c r="K33" s="160">
        <f>'DATA MetaMetaverse'!O26*'DATA MetaMetaverse'!O67/1000</f>
        <v>201.18724137931036</v>
      </c>
      <c r="L33" s="161">
        <f>'DATA MetaMetaverse'!P26*'DATA MetaMetaverse'!P67/1000</f>
        <v>211.24660344827592</v>
      </c>
      <c r="M33" s="159">
        <f>'DATA MetaMetaverse'!Q26*'DATA MetaMetaverse'!Q67/1000</f>
        <v>221.80893362068971</v>
      </c>
      <c r="N33" s="161">
        <f>'DATA MetaMetaverse'!R26*'DATA MetaMetaverse'!R67/1000</f>
        <v>232.89938030172422</v>
      </c>
      <c r="O33" s="159">
        <f>'DATA MetaMetaverse'!S26*'DATA MetaMetaverse'!S67/1000</f>
        <v>244.54434931681044</v>
      </c>
      <c r="P33" s="160">
        <f>'DATA MetaMetaverse'!T26*'DATA MetaMetaverse'!T67/1000</f>
        <v>256.77156678265095</v>
      </c>
      <c r="Q33" s="160">
        <f>'DATA MetaMetaverse'!U26*'DATA MetaMetaverse'!U67/1000</f>
        <v>269.61014512178355</v>
      </c>
      <c r="R33" s="160">
        <f>'DATA MetaMetaverse'!V26*'DATA MetaMetaverse'!V67/1000</f>
        <v>283.0906523778727</v>
      </c>
      <c r="S33" s="161">
        <f>'DATA MetaMetaverse'!W26*'DATA MetaMetaverse'!W67/1000</f>
        <v>297.24518499676634</v>
      </c>
    </row>
    <row r="34" spans="1:19" ht="15" customHeight="1">
      <c r="A34" s="155" t="s">
        <v>325</v>
      </c>
      <c r="B34" s="159">
        <f>'DATA MetaMetaverse'!F27*'DATA MetaMetaverse'!F68/1000</f>
        <v>201.98008569593298</v>
      </c>
      <c r="C34" s="160">
        <f>'DATA MetaMetaverse'!G27*'DATA MetaMetaverse'!G68/1000</f>
        <v>197.9404839820143</v>
      </c>
      <c r="D34" s="160">
        <f>'DATA MetaMetaverse'!H27*'DATA MetaMetaverse'!H68/1000</f>
        <v>193.98167430237405</v>
      </c>
      <c r="E34" s="160">
        <f>'DATA MetaMetaverse'!I27*'DATA MetaMetaverse'!I68/1000</f>
        <v>190.10204081632654</v>
      </c>
      <c r="F34" s="160">
        <f>'DATA MetaMetaverse'!J27*'DATA MetaMetaverse'!J68/1000</f>
        <v>186.3</v>
      </c>
      <c r="G34" s="160">
        <f>'DATA MetaMetaverse'!K27*'DATA MetaMetaverse'!K68/1000</f>
        <v>186.3</v>
      </c>
      <c r="H34" s="160">
        <f>'DATA MetaMetaverse'!L27*'DATA MetaMetaverse'!L68/1000</f>
        <v>186.3</v>
      </c>
      <c r="I34" s="160">
        <f>'DATA MetaMetaverse'!M27*'DATA MetaMetaverse'!M68/1000</f>
        <v>186.3</v>
      </c>
      <c r="J34" s="160">
        <f>'DATA MetaMetaverse'!N27*'DATA MetaMetaverse'!N68/1000</f>
        <v>186.3</v>
      </c>
      <c r="K34" s="160">
        <f>'DATA MetaMetaverse'!O27*'DATA MetaMetaverse'!O68/1000</f>
        <v>186.3</v>
      </c>
      <c r="L34" s="161">
        <f>'DATA MetaMetaverse'!P27*'DATA MetaMetaverse'!P68/1000</f>
        <v>186.3</v>
      </c>
      <c r="M34" s="159">
        <f>'DATA MetaMetaverse'!Q27*'DATA MetaMetaverse'!Q68/1000</f>
        <v>186.3</v>
      </c>
      <c r="N34" s="161">
        <f>'DATA MetaMetaverse'!R27*'DATA MetaMetaverse'!R68/1000</f>
        <v>186.3</v>
      </c>
      <c r="O34" s="159">
        <f>'DATA MetaMetaverse'!S27*'DATA MetaMetaverse'!S68/1000</f>
        <v>186.3</v>
      </c>
      <c r="P34" s="160">
        <f>'DATA MetaMetaverse'!T27*'DATA MetaMetaverse'!T68/1000</f>
        <v>186.3</v>
      </c>
      <c r="Q34" s="160">
        <f>'DATA MetaMetaverse'!U27*'DATA MetaMetaverse'!U68/1000</f>
        <v>186.3</v>
      </c>
      <c r="R34" s="160">
        <f>'DATA MetaMetaverse'!V27*'DATA MetaMetaverse'!V68/1000</f>
        <v>186.3</v>
      </c>
      <c r="S34" s="161">
        <f>'DATA MetaMetaverse'!W27*'DATA MetaMetaverse'!W68/1000</f>
        <v>186.3</v>
      </c>
    </row>
    <row r="35" spans="1:19" ht="15" customHeight="1">
      <c r="A35" s="155" t="s">
        <v>79</v>
      </c>
      <c r="B35" s="159">
        <f>'DATA MetaMetaverse'!F28*'DATA MetaMetaverse'!F69/1000</f>
        <v>71.95630165991555</v>
      </c>
      <c r="C35" s="160">
        <f>'DATA MetaMetaverse'!G28*'DATA MetaMetaverse'!G69/1000</f>
        <v>73.39542769311387</v>
      </c>
      <c r="D35" s="160">
        <f>'DATA MetaMetaverse'!H28*'DATA MetaMetaverse'!H69/1000</f>
        <v>74.86333624697615</v>
      </c>
      <c r="E35" s="160">
        <f>'DATA MetaMetaverse'!I28*'DATA MetaMetaverse'!I69/1000</f>
        <v>76.36060297191567</v>
      </c>
      <c r="F35" s="160">
        <f>'DATA MetaMetaverse'!J28*'DATA MetaMetaverse'!J69/1000</f>
        <v>77.887815031354</v>
      </c>
      <c r="G35" s="160">
        <f>'DATA MetaMetaverse'!K28*'DATA MetaMetaverse'!K69/1000</f>
        <v>79.44557133198106</v>
      </c>
      <c r="H35" s="160">
        <f>'DATA MetaMetaverse'!L28*'DATA MetaMetaverse'!L69/1000</f>
        <v>81.0344827586207</v>
      </c>
      <c r="I35" s="160">
        <f>'DATA MetaMetaverse'!M28*'DATA MetaMetaverse'!M69/1000</f>
        <v>82.65517241379311</v>
      </c>
      <c r="J35" s="160">
        <f>'DATA MetaMetaverse'!N28*'DATA MetaMetaverse'!N69/1000</f>
        <v>84.30827586206897</v>
      </c>
      <c r="K35" s="160">
        <f>'DATA MetaMetaverse'!O28*'DATA MetaMetaverse'!O69/1000</f>
        <v>85.99444137931035</v>
      </c>
      <c r="L35" s="161">
        <f>'DATA MetaMetaverse'!P28*'DATA MetaMetaverse'!P69/1000</f>
        <v>87.71433020689658</v>
      </c>
      <c r="M35" s="159">
        <f>'DATA MetaMetaverse'!Q28*'DATA MetaMetaverse'!Q69/1000</f>
        <v>89.46861681103451</v>
      </c>
      <c r="N35" s="161">
        <f>'DATA MetaMetaverse'!R28*'DATA MetaMetaverse'!R69/1000</f>
        <v>91.25798914725519</v>
      </c>
      <c r="O35" s="159">
        <f>'DATA MetaMetaverse'!S28*'DATA MetaMetaverse'!S69/1000</f>
        <v>93.08314893020031</v>
      </c>
      <c r="P35" s="160">
        <f>'DATA MetaMetaverse'!T28*'DATA MetaMetaverse'!T69/1000</f>
        <v>94.9448119088043</v>
      </c>
      <c r="Q35" s="160">
        <f>'DATA MetaMetaverse'!U28*'DATA MetaMetaverse'!U69/1000</f>
        <v>96.84370814698039</v>
      </c>
      <c r="R35" s="160">
        <f>'DATA MetaMetaverse'!V28*'DATA MetaMetaverse'!V69/1000</f>
        <v>98.78058230992002</v>
      </c>
      <c r="S35" s="161">
        <f>'DATA MetaMetaverse'!W28*'DATA MetaMetaverse'!W69/1000</f>
        <v>100.75619395611841</v>
      </c>
    </row>
    <row r="36" spans="1:19" ht="15" customHeight="1">
      <c r="A36" s="155" t="s">
        <v>81</v>
      </c>
      <c r="B36" s="159">
        <f>'DATA MetaMetaverse'!F29*'DATA MetaMetaverse'!F70/1000</f>
        <v>54.627149188828994</v>
      </c>
      <c r="C36" s="160">
        <f>'DATA MetaMetaverse'!G29*'DATA MetaMetaverse'!G70/1000</f>
        <v>57.90477814015874</v>
      </c>
      <c r="D36" s="160">
        <f>'DATA MetaMetaverse'!H29*'DATA MetaMetaverse'!H70/1000</f>
        <v>61.37906482856827</v>
      </c>
      <c r="E36" s="160">
        <f>'DATA MetaMetaverse'!I29*'DATA MetaMetaverse'!I70/1000</f>
        <v>65.06180871828238</v>
      </c>
      <c r="F36" s="160">
        <f>'DATA MetaMetaverse'!J29*'DATA MetaMetaverse'!J70/1000</f>
        <v>68.96551724137932</v>
      </c>
      <c r="G36" s="160">
        <f>'DATA MetaMetaverse'!K29*'DATA MetaMetaverse'!K70/1000</f>
        <v>72.75862068965517</v>
      </c>
      <c r="H36" s="160">
        <f>'DATA MetaMetaverse'!L29*'DATA MetaMetaverse'!L70/1000</f>
        <v>76.20689655172414</v>
      </c>
      <c r="I36" s="160">
        <f>'DATA MetaMetaverse'!M29*'DATA MetaMetaverse'!M70/1000</f>
        <v>76.95372413793105</v>
      </c>
      <c r="J36" s="160">
        <f>'DATA MetaMetaverse'!N29*'DATA MetaMetaverse'!N70/1000</f>
        <v>77.70787063448277</v>
      </c>
      <c r="K36" s="160">
        <f>'DATA MetaMetaverse'!O29*'DATA MetaMetaverse'!O70/1000</f>
        <v>78.46940776670071</v>
      </c>
      <c r="L36" s="161">
        <f>'DATA MetaMetaverse'!P29*'DATA MetaMetaverse'!P70/1000</f>
        <v>79.23840796281436</v>
      </c>
      <c r="M36" s="159">
        <f>'DATA MetaMetaverse'!Q29*'DATA MetaMetaverse'!Q70/1000</f>
        <v>80.01494436084994</v>
      </c>
      <c r="N36" s="161">
        <f>'DATA MetaMetaverse'!R29*'DATA MetaMetaverse'!R70/1000</f>
        <v>80.79909081558628</v>
      </c>
      <c r="O36" s="159">
        <f>'DATA MetaMetaverse'!S29*'DATA MetaMetaverse'!S70/1000</f>
        <v>81.59092190557904</v>
      </c>
      <c r="P36" s="160">
        <f>'DATA MetaMetaverse'!T29*'DATA MetaMetaverse'!T70/1000</f>
        <v>82.3905129402537</v>
      </c>
      <c r="Q36" s="160">
        <f>'DATA MetaMetaverse'!U29*'DATA MetaMetaverse'!U70/1000</f>
        <v>83.19793996706818</v>
      </c>
      <c r="R36" s="160">
        <f>'DATA MetaMetaverse'!V29*'DATA MetaMetaverse'!V70/1000</f>
        <v>84.01327977874544</v>
      </c>
      <c r="S36" s="161">
        <f>'DATA MetaMetaverse'!W29*'DATA MetaMetaverse'!W70/1000</f>
        <v>84.83660992057716</v>
      </c>
    </row>
    <row r="37" spans="1:19" ht="15" customHeight="1">
      <c r="A37" s="155" t="s">
        <v>326</v>
      </c>
      <c r="B37" s="159">
        <f>'DATA MetaMetaverse'!F30*'DATA MetaMetaverse'!F71/1000</f>
        <v>175.14009020170656</v>
      </c>
      <c r="C37" s="160">
        <f>'DATA MetaMetaverse'!G30*'DATA MetaMetaverse'!G71/1000</f>
        <v>208.01388513256694</v>
      </c>
      <c r="D37" s="160">
        <f>'DATA MetaMetaverse'!H30*'DATA MetaMetaverse'!H71/1000</f>
        <v>247.05809137194976</v>
      </c>
      <c r="E37" s="160">
        <f>'DATA MetaMetaverse'!I30*'DATA MetaMetaverse'!I71/1000</f>
        <v>293.4308951224648</v>
      </c>
      <c r="F37" s="160">
        <f>'DATA MetaMetaverse'!J30*'DATA MetaMetaverse'!J71/1000</f>
        <v>348.50787413695144</v>
      </c>
      <c r="G37" s="160">
        <f>'DATA MetaMetaverse'!K30*'DATA MetaMetaverse'!K71/1000</f>
        <v>370.47219633426533</v>
      </c>
      <c r="H37" s="160">
        <f>'DATA MetaMetaverse'!L30*'DATA MetaMetaverse'!L71/1000</f>
        <v>401.844827586207</v>
      </c>
      <c r="I37" s="160">
        <f>'DATA MetaMetaverse'!M30*'DATA MetaMetaverse'!M71/1000</f>
        <v>401.4110344827587</v>
      </c>
      <c r="J37" s="160">
        <f>'DATA MetaMetaverse'!N30*'DATA MetaMetaverse'!N71/1000</f>
        <v>440.38804593103447</v>
      </c>
      <c r="K37" s="160">
        <f>'DATA MetaMetaverse'!O30*'DATA MetaMetaverse'!O71/1000</f>
        <v>483.149725190938</v>
      </c>
      <c r="L37" s="161">
        <f>'DATA MetaMetaverse'!P30*'DATA MetaMetaverse'!P71/1000</f>
        <v>530.0635635069781</v>
      </c>
      <c r="M37" s="159">
        <f>'DATA MetaMetaverse'!Q30*'DATA MetaMetaverse'!Q71/1000</f>
        <v>581.5327355235056</v>
      </c>
      <c r="N37" s="161">
        <f>'DATA MetaMetaverse'!R30*'DATA MetaMetaverse'!R71/1000</f>
        <v>637.999564142838</v>
      </c>
      <c r="O37" s="159">
        <f>'DATA MetaMetaverse'!S30*'DATA MetaMetaverse'!S71/1000</f>
        <v>689.8051287512365</v>
      </c>
      <c r="P37" s="160">
        <f>'DATA MetaMetaverse'!T30*'DATA MetaMetaverse'!T71/1000</f>
        <v>745.8173052058369</v>
      </c>
      <c r="Q37" s="160">
        <f>'DATA MetaMetaverse'!U30*'DATA MetaMetaverse'!U71/1000</f>
        <v>806.3776703885509</v>
      </c>
      <c r="R37" s="160">
        <f>'DATA MetaMetaverse'!V30*'DATA MetaMetaverse'!V71/1000</f>
        <v>871.8555372241012</v>
      </c>
      <c r="S37" s="161">
        <f>'DATA MetaMetaverse'!W30*'DATA MetaMetaverse'!W71/1000</f>
        <v>942.6502068466984</v>
      </c>
    </row>
    <row r="38" spans="1:21" ht="15" customHeight="1">
      <c r="A38" s="155" t="s">
        <v>84</v>
      </c>
      <c r="B38" s="159">
        <f>'DATA MetaMetaverse'!F31*'DATA MetaMetaverse'!F72/1000</f>
        <v>79.77824074039454</v>
      </c>
      <c r="C38" s="160">
        <f>'DATA MetaMetaverse'!G31*'DATA MetaMetaverse'!G72/1000</f>
        <v>82.49070092556796</v>
      </c>
      <c r="D38" s="160">
        <f>'DATA MetaMetaverse'!H31*'DATA MetaMetaverse'!H72/1000</f>
        <v>85.29538475703725</v>
      </c>
      <c r="E38" s="160">
        <f>'DATA MetaMetaverse'!I31*'DATA MetaMetaverse'!I72/1000</f>
        <v>88.19542783877654</v>
      </c>
      <c r="F38" s="160">
        <f>'DATA MetaMetaverse'!J31*'DATA MetaMetaverse'!J72/1000</f>
        <v>91.19407238529494</v>
      </c>
      <c r="G38" s="160">
        <f>'DATA MetaMetaverse'!K31*'DATA MetaMetaverse'!K72/1000</f>
        <v>94.04388714733541</v>
      </c>
      <c r="H38" s="160">
        <f>'DATA MetaMetaverse'!L31*'DATA MetaMetaverse'!L72/1000</f>
        <v>100</v>
      </c>
      <c r="I38" s="160">
        <f>'DATA MetaMetaverse'!M31*'DATA MetaMetaverse'!M72/1000</f>
        <v>101.85000000000001</v>
      </c>
      <c r="J38" s="160">
        <f>'DATA MetaMetaverse'!N31*'DATA MetaMetaverse'!N72/1000</f>
        <v>103.73422500000001</v>
      </c>
      <c r="K38" s="160">
        <f>'DATA MetaMetaverse'!O31*'DATA MetaMetaverse'!O72/1000</f>
        <v>105.65330816250001</v>
      </c>
      <c r="L38" s="161">
        <f>'DATA MetaMetaverse'!P31*'DATA MetaMetaverse'!P72/1000</f>
        <v>107.60789436350626</v>
      </c>
      <c r="M38" s="159">
        <f>'DATA MetaMetaverse'!Q31*'DATA MetaMetaverse'!Q72/1000</f>
        <v>109.59864040923112</v>
      </c>
      <c r="N38" s="161">
        <f>'DATA MetaMetaverse'!R31*'DATA MetaMetaverse'!R72/1000</f>
        <v>111.62621525680191</v>
      </c>
      <c r="O38" s="159">
        <f>'DATA MetaMetaverse'!S31*'DATA MetaMetaverse'!S72/1000</f>
        <v>113.69130023905274</v>
      </c>
      <c r="P38" s="160">
        <f>'DATA MetaMetaverse'!T31*'DATA MetaMetaverse'!T72/1000</f>
        <v>115.7945892934752</v>
      </c>
      <c r="Q38" s="160">
        <f>'DATA MetaMetaverse'!U31*'DATA MetaMetaverse'!U72/1000</f>
        <v>117.93678919540449</v>
      </c>
      <c r="R38" s="160">
        <f>'DATA MetaMetaverse'!V31*'DATA MetaMetaverse'!V72/1000</f>
        <v>120.11861979551949</v>
      </c>
      <c r="S38" s="161">
        <f>'DATA MetaMetaverse'!W31*'DATA MetaMetaverse'!W72/1000</f>
        <v>122.3408142617366</v>
      </c>
      <c r="U38" s="143"/>
    </row>
    <row r="39" spans="1:21" ht="15" customHeight="1">
      <c r="A39" s="155" t="s">
        <v>86</v>
      </c>
      <c r="B39" s="159">
        <f>'DATA MetaMetaverse'!F32*'DATA MetaMetaverse'!F73/1000</f>
        <v>57.50045926766826</v>
      </c>
      <c r="C39" s="160">
        <f>'DATA MetaMetaverse'!G32*'DATA MetaMetaverse'!G73/1000</f>
        <v>50.60040415554807</v>
      </c>
      <c r="D39" s="160">
        <f>'DATA MetaMetaverse'!H32*'DATA MetaMetaverse'!H73/1000</f>
        <v>44.5283556568823</v>
      </c>
      <c r="E39" s="160">
        <f>'DATA MetaMetaverse'!I32*'DATA MetaMetaverse'!I73/1000</f>
        <v>39.18495297805643</v>
      </c>
      <c r="F39" s="160">
        <f>'DATA MetaMetaverse'!J32*'DATA MetaMetaverse'!J73/1000</f>
        <v>34.48275862068966</v>
      </c>
      <c r="G39" s="160">
        <f>'DATA MetaMetaverse'!K32*'DATA MetaMetaverse'!K73/1000</f>
        <v>33.58620689655172</v>
      </c>
      <c r="H39" s="160">
        <f>'DATA MetaMetaverse'!L32*'DATA MetaMetaverse'!L73/1000</f>
        <v>28.896551724137936</v>
      </c>
      <c r="I39" s="160">
        <f>'DATA MetaMetaverse'!M32*'DATA MetaMetaverse'!M73/1000</f>
        <v>24.85103448275862</v>
      </c>
      <c r="J39" s="160">
        <f>'DATA MetaMetaverse'!N32*'DATA MetaMetaverse'!N73/1000</f>
        <v>21.371889655172414</v>
      </c>
      <c r="K39" s="160">
        <f>'DATA MetaMetaverse'!O32*'DATA MetaMetaverse'!O73/1000</f>
        <v>18.379825103448276</v>
      </c>
      <c r="L39" s="161">
        <f>'DATA MetaMetaverse'!P32*'DATA MetaMetaverse'!P73/1000</f>
        <v>15.806649588965517</v>
      </c>
      <c r="M39" s="159">
        <f>'DATA MetaMetaverse'!Q32*'DATA MetaMetaverse'!Q73/1000</f>
        <v>13.593718646510343</v>
      </c>
      <c r="N39" s="161">
        <f>'DATA MetaMetaverse'!R32*'DATA MetaMetaverse'!R73/1000</f>
        <v>11.690598035998894</v>
      </c>
      <c r="O39" s="159">
        <f>'DATA MetaMetaverse'!S32*'DATA MetaMetaverse'!S73/1000</f>
        <v>10.05391431095905</v>
      </c>
      <c r="P39" s="160">
        <f>'DATA MetaMetaverse'!T32*'DATA MetaMetaverse'!T73/1000</f>
        <v>8.646366307424781</v>
      </c>
      <c r="Q39" s="160">
        <f>'DATA MetaMetaverse'!U32*'DATA MetaMetaverse'!U73/1000</f>
        <v>7.435875024385312</v>
      </c>
      <c r="R39" s="160">
        <f>'DATA MetaMetaverse'!V32*'DATA MetaMetaverse'!V73/1000</f>
        <v>6.394852520971368</v>
      </c>
      <c r="S39" s="161">
        <f>'DATA MetaMetaverse'!W32*'DATA MetaMetaverse'!W73/1000</f>
        <v>5.499573168035376</v>
      </c>
      <c r="U39" s="143"/>
    </row>
    <row r="40" spans="1:21" ht="15" customHeight="1">
      <c r="A40" s="155" t="s">
        <v>88</v>
      </c>
      <c r="B40" s="159">
        <f>'DATA MetaMetaverse'!F33*'DATA MetaMetaverse'!F74/1000</f>
        <v>1.770623891806305</v>
      </c>
      <c r="C40" s="160">
        <f>'DATA MetaMetaverse'!G33*'DATA MetaMetaverse'!G74/1000</f>
        <v>2.2867607562678427</v>
      </c>
      <c r="D40" s="160">
        <f>'DATA MetaMetaverse'!H33*'DATA MetaMetaverse'!H74/1000</f>
        <v>2.953351516719919</v>
      </c>
      <c r="E40" s="160">
        <f>'DATA MetaMetaverse'!I33*'DATA MetaMetaverse'!I74/1000</f>
        <v>3.814253483843775</v>
      </c>
      <c r="F40" s="160">
        <f>'DATA MetaMetaverse'!J33*'DATA MetaMetaverse'!J74/1000</f>
        <v>4.926108374384237</v>
      </c>
      <c r="G40" s="160">
        <f>'DATA MetaMetaverse'!K33*'DATA MetaMetaverse'!K74/1000</f>
        <v>5.9113300492610845</v>
      </c>
      <c r="H40" s="160">
        <f>'DATA MetaMetaverse'!L33*'DATA MetaMetaverse'!L74/1000</f>
        <v>7.241379310344828</v>
      </c>
      <c r="I40" s="160">
        <f>'DATA MetaMetaverse'!M33*'DATA MetaMetaverse'!M74/1000</f>
        <v>9.276206896551725</v>
      </c>
      <c r="J40" s="160">
        <f>'DATA MetaMetaverse'!N33*'DATA MetaMetaverse'!N74/1000</f>
        <v>11.882821034482758</v>
      </c>
      <c r="K40" s="160">
        <f>'DATA MetaMetaverse'!O33*'DATA MetaMetaverse'!O74/1000</f>
        <v>15.221893745172414</v>
      </c>
      <c r="L40" s="161">
        <f>'DATA MetaMetaverse'!P33*'DATA MetaMetaverse'!P74/1000</f>
        <v>19.499245887565863</v>
      </c>
      <c r="M40" s="159">
        <f>'DATA MetaMetaverse'!Q33*'DATA MetaMetaverse'!Q74/1000</f>
        <v>32.64173761578525</v>
      </c>
      <c r="N40" s="161">
        <f>'DATA MetaMetaverse'!R33*'DATA MetaMetaverse'!R74/1000</f>
        <v>54.642268768824515</v>
      </c>
      <c r="O40" s="159">
        <f>'DATA MetaMetaverse'!S33*'DATA MetaMetaverse'!S74/1000</f>
        <v>91.47115791901223</v>
      </c>
      <c r="P40" s="160">
        <f>'DATA MetaMetaverse'!T33*'DATA MetaMetaverse'!T74/1000</f>
        <v>153.12271835642647</v>
      </c>
      <c r="Q40" s="160">
        <f>'DATA MetaMetaverse'!U33*'DATA MetaMetaverse'!U74/1000</f>
        <v>256.327430528658</v>
      </c>
      <c r="R40" s="160">
        <f>'DATA MetaMetaverse'!V33*'DATA MetaMetaverse'!V74/1000</f>
        <v>429.0921187049735</v>
      </c>
      <c r="S40" s="161">
        <f>'DATA MetaMetaverse'!W33*'DATA MetaMetaverse'!W74/1000</f>
        <v>718.3002067121257</v>
      </c>
      <c r="U40" s="143"/>
    </row>
    <row r="41" spans="1:21" ht="15" customHeight="1">
      <c r="A41" s="155" t="s">
        <v>90</v>
      </c>
      <c r="B41" s="159">
        <f>'DATA MetaMetaverse'!F34*'DATA MetaMetaverse'!F75/1000</f>
        <v>422.22649968022523</v>
      </c>
      <c r="C41" s="160">
        <f>'DATA MetaMetaverse'!G34*'DATA MetaMetaverse'!G75/1000</f>
        <v>464.4491496482477</v>
      </c>
      <c r="D41" s="160">
        <f>'DATA MetaMetaverse'!H34*'DATA MetaMetaverse'!H75/1000</f>
        <v>510.8940646130726</v>
      </c>
      <c r="E41" s="160">
        <f>'DATA MetaMetaverse'!I34*'DATA MetaMetaverse'!I75/1000</f>
        <v>561.98347107438</v>
      </c>
      <c r="F41" s="160">
        <f>'DATA MetaMetaverse'!J34*'DATA MetaMetaverse'!J75/1000</f>
        <v>618.181818181818</v>
      </c>
      <c r="G41" s="160">
        <f>'DATA MetaMetaverse'!K34*'DATA MetaMetaverse'!K75/1000</f>
        <v>695.4545454545454</v>
      </c>
      <c r="H41" s="160">
        <f>'DATA MetaMetaverse'!L34*'DATA MetaMetaverse'!L75/1000</f>
        <v>782</v>
      </c>
      <c r="I41" s="160">
        <f>'DATA MetaMetaverse'!M34*'DATA MetaMetaverse'!M75/1000</f>
        <v>844.5600000000002</v>
      </c>
      <c r="J41" s="160">
        <f>'DATA MetaMetaverse'!N34*'DATA MetaMetaverse'!N75/1000</f>
        <v>912.1248000000002</v>
      </c>
      <c r="K41" s="160">
        <f>'DATA MetaMetaverse'!O34*'DATA MetaMetaverse'!O75/1000</f>
        <v>985.0947840000002</v>
      </c>
      <c r="L41" s="161">
        <f>'DATA MetaMetaverse'!P34*'DATA MetaMetaverse'!P75/1000</f>
        <v>1063.9023667200006</v>
      </c>
      <c r="M41" s="159">
        <f>'DATA MetaMetaverse'!Q34*'DATA MetaMetaverse'!Q75/1000</f>
        <v>1149.0145560576004</v>
      </c>
      <c r="N41" s="161">
        <f>'DATA MetaMetaverse'!R34*'DATA MetaMetaverse'!R75/1000</f>
        <v>1240.9357205422086</v>
      </c>
      <c r="O41" s="159">
        <f>'DATA MetaMetaverse'!S34*'DATA MetaMetaverse'!S75/1000</f>
        <v>1340.2105781855855</v>
      </c>
      <c r="P41" s="160">
        <f>'DATA MetaMetaverse'!T34*'DATA MetaMetaverse'!T75/1000</f>
        <v>1447.4274244404323</v>
      </c>
      <c r="Q41" s="160">
        <f>'DATA MetaMetaverse'!U34*'DATA MetaMetaverse'!U75/1000</f>
        <v>1563.221618395667</v>
      </c>
      <c r="R41" s="160">
        <f>'DATA MetaMetaverse'!V34*'DATA MetaMetaverse'!V75/1000</f>
        <v>1688.2793478673204</v>
      </c>
      <c r="S41" s="161">
        <f>'DATA MetaMetaverse'!W34*'DATA MetaMetaverse'!W75/1000</f>
        <v>1823.3416956967064</v>
      </c>
      <c r="U41" s="143"/>
    </row>
    <row r="42" spans="1:21" ht="15" customHeight="1">
      <c r="A42" s="155" t="s">
        <v>92</v>
      </c>
      <c r="B42" s="159">
        <f>'DATA MetaMetaverse'!F35*'DATA MetaMetaverse'!F76/1000</f>
        <v>29.29957485611239</v>
      </c>
      <c r="C42" s="160">
        <f>'DATA MetaMetaverse'!G35*'DATA MetaMetaverse'!G76/1000</f>
        <v>32.815523838845884</v>
      </c>
      <c r="D42" s="160">
        <f>'DATA MetaMetaverse'!H35*'DATA MetaMetaverse'!H76/1000</f>
        <v>36.75338669950739</v>
      </c>
      <c r="E42" s="160">
        <f>'DATA MetaMetaverse'!I35*'DATA MetaMetaverse'!I76/1000</f>
        <v>41.16379310344828</v>
      </c>
      <c r="F42" s="160">
        <f>'DATA MetaMetaverse'!J35*'DATA MetaMetaverse'!J76/1000</f>
        <v>46.10344827586207</v>
      </c>
      <c r="G42" s="160">
        <f>'DATA MetaMetaverse'!K35*'DATA MetaMetaverse'!K76/1000</f>
        <v>51.724137931034484</v>
      </c>
      <c r="H42" s="160">
        <f>'DATA MetaMetaverse'!L35*'DATA MetaMetaverse'!L76/1000</f>
        <v>57.93103448275863</v>
      </c>
      <c r="I42" s="160">
        <f>'DATA MetaMetaverse'!M35*'DATA MetaMetaverse'!M76/1000</f>
        <v>60.24827586206898</v>
      </c>
      <c r="J42" s="160">
        <f>'DATA MetaMetaverse'!N35*'DATA MetaMetaverse'!N76/1000</f>
        <v>62.65820689655175</v>
      </c>
      <c r="K42" s="160">
        <f>'DATA MetaMetaverse'!O35*'DATA MetaMetaverse'!O76/1000</f>
        <v>65.16453517241382</v>
      </c>
      <c r="L42" s="161">
        <f>'DATA MetaMetaverse'!P35*'DATA MetaMetaverse'!P76/1000</f>
        <v>67.77111657931037</v>
      </c>
      <c r="M42" s="159">
        <f>'DATA MetaMetaverse'!Q35*'DATA MetaMetaverse'!Q76/1000</f>
        <v>70.4819612424828</v>
      </c>
      <c r="N42" s="161">
        <f>'DATA MetaMetaverse'!R35*'DATA MetaMetaverse'!R76/1000</f>
        <v>73.3012396921821</v>
      </c>
      <c r="O42" s="159">
        <f>'DATA MetaMetaverse'!S35*'DATA MetaMetaverse'!S76/1000</f>
        <v>76.23328927986938</v>
      </c>
      <c r="P42" s="160">
        <f>'DATA MetaMetaverse'!T35*'DATA MetaMetaverse'!T76/1000</f>
        <v>79.28262085106415</v>
      </c>
      <c r="Q42" s="160">
        <f>'DATA MetaMetaverse'!U35*'DATA MetaMetaverse'!U76/1000</f>
        <v>82.45392568510674</v>
      </c>
      <c r="R42" s="160">
        <f>'DATA MetaMetaverse'!V35*'DATA MetaMetaverse'!V76/1000</f>
        <v>85.75208271251101</v>
      </c>
      <c r="S42" s="161">
        <f>'DATA MetaMetaverse'!W35*'DATA MetaMetaverse'!W76/1000</f>
        <v>89.18216602101145</v>
      </c>
      <c r="U42" s="143"/>
    </row>
    <row r="43" spans="1:21" ht="15" customHeight="1">
      <c r="A43" s="155" t="s">
        <v>94</v>
      </c>
      <c r="B43" s="159">
        <f>'DATA MetaMetaverse'!F36*'DATA MetaMetaverse'!F77/1000</f>
        <v>15.344205121129932</v>
      </c>
      <c r="C43" s="160">
        <f>'DATA MetaMetaverse'!G36*'DATA MetaMetaverse'!G77/1000</f>
        <v>15.497647172341232</v>
      </c>
      <c r="D43" s="160">
        <f>'DATA MetaMetaverse'!H36*'DATA MetaMetaverse'!H77/1000</f>
        <v>15.652623644064644</v>
      </c>
      <c r="E43" s="160">
        <f>'DATA MetaMetaverse'!I36*'DATA MetaMetaverse'!I77/1000</f>
        <v>15.809149880505291</v>
      </c>
      <c r="F43" s="160">
        <f>'DATA MetaMetaverse'!J36*'DATA MetaMetaverse'!J77/1000</f>
        <v>15.967241379310344</v>
      </c>
      <c r="G43" s="160">
        <f>'DATA MetaMetaverse'!K36*'DATA MetaMetaverse'!K77/1000</f>
        <v>17.379310344827587</v>
      </c>
      <c r="H43" s="160">
        <f>'DATA MetaMetaverse'!L36*'DATA MetaMetaverse'!L77/1000</f>
        <v>15.310344827586206</v>
      </c>
      <c r="I43" s="160">
        <f>'DATA MetaMetaverse'!M36*'DATA MetaMetaverse'!M77/1000</f>
        <v>16.075862068965517</v>
      </c>
      <c r="J43" s="160">
        <f>'DATA MetaMetaverse'!N36*'DATA MetaMetaverse'!N77/1000</f>
        <v>16.879655172413795</v>
      </c>
      <c r="K43" s="160">
        <f>'DATA MetaMetaverse'!O36*'DATA MetaMetaverse'!O77/1000</f>
        <v>17.723637931034485</v>
      </c>
      <c r="L43" s="161">
        <f>'DATA MetaMetaverse'!P36*'DATA MetaMetaverse'!P77/1000</f>
        <v>18.609819827586207</v>
      </c>
      <c r="M43" s="159">
        <f>'DATA MetaMetaverse'!Q36*'DATA MetaMetaverse'!Q77/1000</f>
        <v>19.540310818965523</v>
      </c>
      <c r="N43" s="161">
        <f>'DATA MetaMetaverse'!R36*'DATA MetaMetaverse'!R77/1000</f>
        <v>20.517326359913802</v>
      </c>
      <c r="O43" s="159">
        <f>'DATA MetaMetaverse'!S36*'DATA MetaMetaverse'!S77/1000</f>
        <v>21.54319267790949</v>
      </c>
      <c r="P43" s="160">
        <f>'DATA MetaMetaverse'!T36*'DATA MetaMetaverse'!T77/1000</f>
        <v>22.620352311804965</v>
      </c>
      <c r="Q43" s="160">
        <f>'DATA MetaMetaverse'!U36*'DATA MetaMetaverse'!U77/1000</f>
        <v>23.751369927395213</v>
      </c>
      <c r="R43" s="160">
        <f>'DATA MetaMetaverse'!V36*'DATA MetaMetaverse'!V77/1000</f>
        <v>24.93893842376498</v>
      </c>
      <c r="S43" s="161">
        <f>'DATA MetaMetaverse'!W36*'DATA MetaMetaverse'!W77/1000</f>
        <v>26.185885344953228</v>
      </c>
      <c r="U43" s="143"/>
    </row>
    <row r="44" spans="1:21" ht="15" customHeight="1">
      <c r="A44" s="155" t="s">
        <v>96</v>
      </c>
      <c r="B44" s="159">
        <f>'DATA MetaMetaverse'!F37*'DATA MetaMetaverse'!F78/1000</f>
        <v>28.965517241379313</v>
      </c>
      <c r="C44" s="160">
        <f>'DATA MetaMetaverse'!G37*'DATA MetaMetaverse'!G78/1000</f>
        <v>28.965517241379313</v>
      </c>
      <c r="D44" s="160">
        <f>'DATA MetaMetaverse'!H37*'DATA MetaMetaverse'!H78/1000</f>
        <v>28.965517241379313</v>
      </c>
      <c r="E44" s="160">
        <f>'DATA MetaMetaverse'!I37*'DATA MetaMetaverse'!I78/1000</f>
        <v>28.965517241379313</v>
      </c>
      <c r="F44" s="160">
        <f>'DATA MetaMetaverse'!J37*'DATA MetaMetaverse'!J78/1000</f>
        <v>28.965517241379313</v>
      </c>
      <c r="G44" s="160">
        <f>'DATA MetaMetaverse'!K37*'DATA MetaMetaverse'!K78/1000</f>
        <v>28.965517241379313</v>
      </c>
      <c r="H44" s="160">
        <f>'DATA MetaMetaverse'!L37*'DATA MetaMetaverse'!L78/1000</f>
        <v>28.965517241379313</v>
      </c>
      <c r="I44" s="160">
        <f>'DATA MetaMetaverse'!M37*'DATA MetaMetaverse'!M78/1000</f>
        <v>28.965517241379313</v>
      </c>
      <c r="J44" s="160">
        <f>'DATA MetaMetaverse'!N37*'DATA MetaMetaverse'!N78/1000</f>
        <v>28.965517241379313</v>
      </c>
      <c r="K44" s="160">
        <f>'DATA MetaMetaverse'!O37*'DATA MetaMetaverse'!O78/1000</f>
        <v>28.965517241379313</v>
      </c>
      <c r="L44" s="161">
        <f>'DATA MetaMetaverse'!P37*'DATA MetaMetaverse'!P78/1000</f>
        <v>28.965517241379313</v>
      </c>
      <c r="M44" s="159">
        <f>'DATA MetaMetaverse'!Q37*'DATA MetaMetaverse'!Q78/1000</f>
        <v>28.965517241379313</v>
      </c>
      <c r="N44" s="161">
        <f>'DATA MetaMetaverse'!R37*'DATA MetaMetaverse'!R78/1000</f>
        <v>28.965517241379313</v>
      </c>
      <c r="O44" s="159">
        <f>'DATA MetaMetaverse'!S37*'DATA MetaMetaverse'!S78/1000</f>
        <v>28.965517241379313</v>
      </c>
      <c r="P44" s="160">
        <f>'DATA MetaMetaverse'!T37*'DATA MetaMetaverse'!T78/1000</f>
        <v>28.965517241379313</v>
      </c>
      <c r="Q44" s="160">
        <f>'DATA MetaMetaverse'!U37*'DATA MetaMetaverse'!U78/1000</f>
        <v>28.965517241379313</v>
      </c>
      <c r="R44" s="160">
        <f>'DATA MetaMetaverse'!V37*'DATA MetaMetaverse'!V78/1000</f>
        <v>28.965517241379313</v>
      </c>
      <c r="S44" s="161">
        <f>'DATA MetaMetaverse'!W37*'DATA MetaMetaverse'!W78/1000</f>
        <v>28.965517241379313</v>
      </c>
      <c r="U44" s="143"/>
    </row>
    <row r="45" spans="1:21" ht="15" customHeight="1">
      <c r="A45" s="155" t="s">
        <v>5</v>
      </c>
      <c r="B45" s="159">
        <f>'DATA MetaMetaverse'!F38*'DATA MetaMetaverse'!F79/1000</f>
        <v>0</v>
      </c>
      <c r="C45" s="160">
        <f>'DATA MetaMetaverse'!G38*'DATA MetaMetaverse'!G79/1000</f>
        <v>0</v>
      </c>
      <c r="D45" s="160">
        <f>'DATA MetaMetaverse'!H38*'DATA MetaMetaverse'!H79/1000</f>
        <v>0</v>
      </c>
      <c r="E45" s="160">
        <f>'DATA MetaMetaverse'!I38*'DATA MetaMetaverse'!I79/1000</f>
        <v>0</v>
      </c>
      <c r="F45" s="160">
        <f>'DATA MetaMetaverse'!J38*'DATA MetaMetaverse'!J79/1000</f>
        <v>0.3380331204851451</v>
      </c>
      <c r="G45" s="160">
        <f>'DATA MetaMetaverse'!K38*'DATA MetaMetaverse'!K79/1000</f>
        <v>0.6828269033799932</v>
      </c>
      <c r="H45" s="160">
        <f>'DATA MetaMetaverse'!L38*'DATA MetaMetaverse'!L79/1000</f>
        <v>1.0344827586206897</v>
      </c>
      <c r="I45" s="160">
        <f>'DATA MetaMetaverse'!M38*'DATA MetaMetaverse'!M79/1000</f>
        <v>1.7966896551724139</v>
      </c>
      <c r="J45" s="160">
        <f>'DATA MetaMetaverse'!N38*'DATA MetaMetaverse'!N79/1000</f>
        <v>3.120490593103449</v>
      </c>
      <c r="K45" s="160">
        <f>'DATA MetaMetaverse'!O38*'DATA MetaMetaverse'!O79/1000</f>
        <v>5.41966806210207</v>
      </c>
      <c r="L45" s="161">
        <f>'DATA MetaMetaverse'!P38*'DATA MetaMetaverse'!P79/1000</f>
        <v>9.412879490258874</v>
      </c>
      <c r="M45" s="159">
        <f>'DATA MetaMetaverse'!Q38*'DATA MetaMetaverse'!Q79/1000</f>
        <v>16.217530720279694</v>
      </c>
      <c r="N45" s="161">
        <f>'DATA MetaMetaverse'!R38*'DATA MetaMetaverse'!R79/1000</f>
        <v>27.941322624537523</v>
      </c>
      <c r="O45" s="159">
        <f>'DATA MetaMetaverse'!S38*'DATA MetaMetaverse'!S79/1000</f>
        <v>48.14034414204754</v>
      </c>
      <c r="P45" s="160">
        <f>'DATA MetaMetaverse'!T38*'DATA MetaMetaverse'!T79/1000</f>
        <v>82.94141137326098</v>
      </c>
      <c r="Q45" s="160">
        <f>'DATA MetaMetaverse'!U38*'DATA MetaMetaverse'!U79/1000</f>
        <v>142.9004682702277</v>
      </c>
      <c r="R45" s="160">
        <f>'DATA MetaMetaverse'!V38*'DATA MetaMetaverse'!V79/1000</f>
        <v>246.20444110785434</v>
      </c>
      <c r="S45" s="161">
        <f>'DATA MetaMetaverse'!W38*'DATA MetaMetaverse'!W79/1000</f>
        <v>424.18774098489047</v>
      </c>
      <c r="T45" s="143"/>
      <c r="U45" s="341"/>
    </row>
    <row r="46" spans="1:21" ht="15" customHeight="1">
      <c r="A46" s="155" t="s">
        <v>33</v>
      </c>
      <c r="B46" s="159">
        <f>'DATA MetaMetaverse'!F39*'DATA MetaMetaverse'!F80/1000</f>
        <v>0</v>
      </c>
      <c r="C46" s="160">
        <f>'DATA MetaMetaverse'!G39*'DATA MetaMetaverse'!G80/1000</f>
        <v>0</v>
      </c>
      <c r="D46" s="160">
        <f>'DATA MetaMetaverse'!H39*'DATA MetaMetaverse'!H80/1000</f>
        <v>0</v>
      </c>
      <c r="E46" s="160">
        <f>'DATA MetaMetaverse'!I39*'DATA MetaMetaverse'!I80/1000</f>
        <v>0</v>
      </c>
      <c r="F46" s="160">
        <f>'DATA MetaMetaverse'!J39*'DATA MetaMetaverse'!J80/1000</f>
        <v>20.802116615365616</v>
      </c>
      <c r="G46" s="160">
        <f>'DATA MetaMetaverse'!K39*'DATA MetaMetaverse'!K80/1000</f>
        <v>33.47840642785404</v>
      </c>
      <c r="H46" s="160">
        <f>'DATA MetaMetaverse'!L39*'DATA MetaMetaverse'!L80/1000</f>
        <v>38.62068965517242</v>
      </c>
      <c r="I46" s="160">
        <f>'DATA MetaMetaverse'!M39*'DATA MetaMetaverse'!M80/1000</f>
        <v>47.79696551724138</v>
      </c>
      <c r="J46" s="160">
        <f>'DATA MetaMetaverse'!N39*'DATA MetaMetaverse'!N80/1000</f>
        <v>59.15352452413793</v>
      </c>
      <c r="K46" s="160">
        <f>'DATA MetaMetaverse'!O39*'DATA MetaMetaverse'!O80/1000</f>
        <v>73.2084019510731</v>
      </c>
      <c r="L46" s="161">
        <f>'DATA MetaMetaverse'!P39*'DATA MetaMetaverse'!P80/1000</f>
        <v>90.60271825464808</v>
      </c>
      <c r="M46" s="159">
        <f>'DATA MetaMetaverse'!Q39*'DATA MetaMetaverse'!Q80/1000</f>
        <v>112.12992411195245</v>
      </c>
      <c r="N46" s="161">
        <f>'DATA MetaMetaverse'!R39*'DATA MetaMetaverse'!R80/1000</f>
        <v>138.77199408095234</v>
      </c>
      <c r="O46" s="159">
        <f>'DATA MetaMetaverse'!S39*'DATA MetaMetaverse'!S80/1000</f>
        <v>171.74421987458666</v>
      </c>
      <c r="P46" s="160">
        <f>'DATA MetaMetaverse'!T39*'DATA MetaMetaverse'!T80/1000</f>
        <v>212.55064651678842</v>
      </c>
      <c r="Q46" s="160">
        <f>'DATA MetaMetaverse'!U39*'DATA MetaMetaverse'!U80/1000</f>
        <v>263.0526801291774</v>
      </c>
      <c r="R46" s="160">
        <f>'DATA MetaMetaverse'!V39*'DATA MetaMetaverse'!V80/1000</f>
        <v>325.5539969278699</v>
      </c>
      <c r="S46" s="161">
        <f>'DATA MetaMetaverse'!W39*'DATA MetaMetaverse'!W80/1000</f>
        <v>402.9056265979318</v>
      </c>
      <c r="T46" s="143"/>
      <c r="U46" s="341"/>
    </row>
    <row r="47" spans="1:21" ht="15" customHeight="1">
      <c r="A47" s="155" t="s">
        <v>101</v>
      </c>
      <c r="B47" s="159">
        <f>'DATA MetaMetaverse'!F40*'DATA MetaMetaverse'!F81/1000</f>
        <v>0</v>
      </c>
      <c r="C47" s="160">
        <f>'DATA MetaMetaverse'!G40*'DATA MetaMetaverse'!G81/1000</f>
        <v>6.958601034283633</v>
      </c>
      <c r="D47" s="160">
        <f>'DATA MetaMetaverse'!H40*'DATA MetaMetaverse'!H81/1000</f>
        <v>8.266818028728956</v>
      </c>
      <c r="E47" s="160">
        <f>'DATA MetaMetaverse'!I40*'DATA MetaMetaverse'!I81/1000</f>
        <v>10.103888701779837</v>
      </c>
      <c r="F47" s="160">
        <f>'DATA MetaMetaverse'!J40*'DATA MetaMetaverse'!J81/1000</f>
        <v>11.855229410088345</v>
      </c>
      <c r="G47" s="160">
        <f>'DATA MetaMetaverse'!K40*'DATA MetaMetaverse'!K81/1000</f>
        <v>14.26332288401254</v>
      </c>
      <c r="H47" s="160">
        <f>'DATA MetaMetaverse'!L40*'DATA MetaMetaverse'!L81/1000</f>
        <v>17.03448275862069</v>
      </c>
      <c r="I47" s="160">
        <f>'DATA MetaMetaverse'!M40*'DATA MetaMetaverse'!M81/1000</f>
        <v>20.236965517241384</v>
      </c>
      <c r="J47" s="160">
        <f>'DATA MetaMetaverse'!N40*'DATA MetaMetaverse'!N81/1000</f>
        <v>24.041515034482767</v>
      </c>
      <c r="K47" s="160">
        <f>'DATA MetaMetaverse'!O40*'DATA MetaMetaverse'!O81/1000</f>
        <v>28.561319860965533</v>
      </c>
      <c r="L47" s="161">
        <f>'DATA MetaMetaverse'!P40*'DATA MetaMetaverse'!P81/1000</f>
        <v>33.930847994827054</v>
      </c>
      <c r="M47" s="159">
        <f>'DATA MetaMetaverse'!Q40*'DATA MetaMetaverse'!Q81/1000</f>
        <v>40.30984741785454</v>
      </c>
      <c r="N47" s="161">
        <f>'DATA MetaMetaverse'!R40*'DATA MetaMetaverse'!R81/1000</f>
        <v>47.88809873241121</v>
      </c>
      <c r="O47" s="159">
        <f>'DATA MetaMetaverse'!S40*'DATA MetaMetaverse'!S81/1000</f>
        <v>56.891061294104524</v>
      </c>
      <c r="P47" s="160">
        <f>'DATA MetaMetaverse'!T40*'DATA MetaMetaverse'!T81/1000</f>
        <v>67.58658081739618</v>
      </c>
      <c r="Q47" s="160">
        <f>'DATA MetaMetaverse'!U40*'DATA MetaMetaverse'!U81/1000</f>
        <v>80.29285801106668</v>
      </c>
      <c r="R47" s="160">
        <f>'DATA MetaMetaverse'!V40*'DATA MetaMetaverse'!V81/1000</f>
        <v>95.38791531714725</v>
      </c>
      <c r="S47" s="161">
        <f>'DATA MetaMetaverse'!W40*'DATA MetaMetaverse'!W81/1000</f>
        <v>113.32084339677094</v>
      </c>
      <c r="T47" s="143"/>
      <c r="U47" s="341"/>
    </row>
    <row r="48" spans="1:21" ht="15" customHeight="1">
      <c r="A48" s="155" t="s">
        <v>16</v>
      </c>
      <c r="B48" s="159">
        <f>'DATA MetaMetaverse'!F41*'DATA MetaMetaverse'!F82/1000</f>
        <v>0</v>
      </c>
      <c r="C48" s="160">
        <f>'DATA MetaMetaverse'!G41*'DATA MetaMetaverse'!G82/1000</f>
        <v>0.14872565248002828</v>
      </c>
      <c r="D48" s="160">
        <f>'DATA MetaMetaverse'!H41*'DATA MetaMetaverse'!H82/1000</f>
        <v>0.4595622661632874</v>
      </c>
      <c r="E48" s="160">
        <f>'DATA MetaMetaverse'!I41*'DATA MetaMetaverse'!I82/1000</f>
        <v>0.7889152235803101</v>
      </c>
      <c r="F48" s="160">
        <f>'DATA MetaMetaverse'!J41*'DATA MetaMetaverse'!J82/1000</f>
        <v>1.6251653605754386</v>
      </c>
      <c r="G48" s="160">
        <f>'DATA MetaMetaverse'!K41*'DATA MetaMetaverse'!K82/1000</f>
        <v>2.678272514228323</v>
      </c>
      <c r="H48" s="160">
        <f>'DATA MetaMetaverse'!L41*'DATA MetaMetaverse'!L82/1000</f>
        <v>4.310344827586207</v>
      </c>
      <c r="I48" s="160">
        <f>'DATA MetaMetaverse'!M41*'DATA MetaMetaverse'!M82/1000</f>
        <v>5.593965517241379</v>
      </c>
      <c r="J48" s="160">
        <f>'DATA MetaMetaverse'!N41*'DATA MetaMetaverse'!N82/1000</f>
        <v>7.259848448275863</v>
      </c>
      <c r="K48" s="160">
        <f>'DATA MetaMetaverse'!O41*'DATA MetaMetaverse'!O82/1000</f>
        <v>9.421831316172417</v>
      </c>
      <c r="L48" s="161">
        <f>'DATA MetaMetaverse'!P41*'DATA MetaMetaverse'!P82/1000</f>
        <v>12.22765268212856</v>
      </c>
      <c r="M48" s="159">
        <f>'DATA MetaMetaverse'!Q41*'DATA MetaMetaverse'!Q82/1000</f>
        <v>16.120937296118296</v>
      </c>
      <c r="N48" s="161">
        <f>'DATA MetaMetaverse'!R41*'DATA MetaMetaverse'!R82/1000</f>
        <v>21.25384373120236</v>
      </c>
      <c r="O48" s="159">
        <f>'DATA MetaMetaverse'!S41*'DATA MetaMetaverse'!S82/1000</f>
        <v>28.021067575217195</v>
      </c>
      <c r="P48" s="160">
        <f>'DATA MetaMetaverse'!T41*'DATA MetaMetaverse'!T82/1000</f>
        <v>36.94297549116635</v>
      </c>
      <c r="Q48" s="160">
        <f>'DATA MetaMetaverse'!U41*'DATA MetaMetaverse'!U82/1000</f>
        <v>48.70561888755371</v>
      </c>
      <c r="R48" s="160">
        <f>'DATA MetaMetaverse'!V41*'DATA MetaMetaverse'!V82/1000</f>
        <v>64.21348794135082</v>
      </c>
      <c r="S48" s="161">
        <f>'DATA MetaMetaverse'!W41*'DATA MetaMetaverse'!W82/1000</f>
        <v>84.65906250187693</v>
      </c>
      <c r="T48" s="143"/>
      <c r="U48" s="341"/>
    </row>
    <row r="49" spans="1:21" ht="15" customHeight="1">
      <c r="A49" s="272" t="s">
        <v>172</v>
      </c>
      <c r="B49" s="162">
        <f>0.15*(B88+B89+B90)</f>
        <v>40.51548109953704</v>
      </c>
      <c r="C49" s="163">
        <f aca="true" t="shared" si="6" ref="C49:S49">0.15*(C88+C89+C90)</f>
        <v>38.49362291666666</v>
      </c>
      <c r="D49" s="163">
        <f t="shared" si="6"/>
        <v>43.130788321720985</v>
      </c>
      <c r="E49" s="163">
        <f t="shared" si="6"/>
        <v>41.782147499999994</v>
      </c>
      <c r="F49" s="163">
        <f t="shared" si="6"/>
        <v>43.548458333333336</v>
      </c>
      <c r="G49" s="163">
        <f t="shared" si="6"/>
        <v>48.48806</v>
      </c>
      <c r="H49" s="364">
        <f t="shared" si="6"/>
        <v>52.402129949999996</v>
      </c>
      <c r="I49" s="163">
        <f t="shared" si="6"/>
        <v>55.904671574910004</v>
      </c>
      <c r="J49" s="163">
        <f t="shared" si="6"/>
        <v>60.095312378467035</v>
      </c>
      <c r="K49" s="163">
        <f t="shared" si="6"/>
        <v>65.04230180130556</v>
      </c>
      <c r="L49" s="164">
        <f t="shared" si="6"/>
        <v>70.82570364160492</v>
      </c>
      <c r="M49" s="162">
        <f t="shared" si="6"/>
        <v>76.57868117305969</v>
      </c>
      <c r="N49" s="164">
        <f t="shared" si="6"/>
        <v>82.85170417186822</v>
      </c>
      <c r="O49" s="162">
        <f t="shared" si="6"/>
        <v>95.60214500226752</v>
      </c>
      <c r="P49" s="163">
        <f t="shared" si="6"/>
        <v>110.35533399177329</v>
      </c>
      <c r="Q49" s="163">
        <f t="shared" si="6"/>
        <v>127.42994694493696</v>
      </c>
      <c r="R49" s="163">
        <f t="shared" si="6"/>
        <v>147.1957932012955</v>
      </c>
      <c r="S49" s="164">
        <f t="shared" si="6"/>
        <v>170.0820665442963</v>
      </c>
      <c r="T49" s="377"/>
      <c r="U49" s="377"/>
    </row>
    <row r="50" spans="1:21" ht="15" customHeight="1">
      <c r="A50" s="178" t="s">
        <v>327</v>
      </c>
      <c r="B50" s="219">
        <f>0.15*B93</f>
        <v>30.843995098825012</v>
      </c>
      <c r="C50" s="220">
        <f aca="true" t="shared" si="7" ref="C50:S50">0.15*C93</f>
        <v>32.430350515422916</v>
      </c>
      <c r="D50" s="220">
        <f t="shared" si="7"/>
        <v>37.010141282400454</v>
      </c>
      <c r="E50" s="220">
        <f t="shared" si="7"/>
        <v>43.55122440833959</v>
      </c>
      <c r="F50" s="220">
        <f t="shared" si="7"/>
        <v>48.959833748708675</v>
      </c>
      <c r="G50" s="220">
        <f t="shared" si="7"/>
        <v>52.124065365886366</v>
      </c>
      <c r="H50" s="365">
        <f t="shared" si="7"/>
        <v>52.55049473079071</v>
      </c>
      <c r="I50" s="220">
        <f t="shared" si="7"/>
        <v>53.443853141214156</v>
      </c>
      <c r="J50" s="220">
        <f t="shared" si="7"/>
        <v>54.352398644614794</v>
      </c>
      <c r="K50" s="220">
        <f t="shared" si="7"/>
        <v>55.27638942157324</v>
      </c>
      <c r="L50" s="222">
        <f t="shared" si="7"/>
        <v>56.21608804173998</v>
      </c>
      <c r="M50" s="219">
        <f t="shared" si="7"/>
        <v>63.24309904695748</v>
      </c>
      <c r="N50" s="222">
        <f t="shared" si="7"/>
        <v>71.14848642782717</v>
      </c>
      <c r="O50" s="219">
        <f t="shared" si="7"/>
        <v>80.04204723130555</v>
      </c>
      <c r="P50" s="220">
        <f t="shared" si="7"/>
        <v>90.04730313521874</v>
      </c>
      <c r="Q50" s="220">
        <f t="shared" si="7"/>
        <v>101.3032160271211</v>
      </c>
      <c r="R50" s="220">
        <f t="shared" si="7"/>
        <v>113.96611803051123</v>
      </c>
      <c r="S50" s="222">
        <f t="shared" si="7"/>
        <v>128.21188278432513</v>
      </c>
      <c r="T50" s="377"/>
      <c r="U50" s="377"/>
    </row>
    <row r="51" spans="1:21" ht="15" customHeight="1">
      <c r="A51" s="378" t="s">
        <v>328</v>
      </c>
      <c r="B51" s="379">
        <f>SUM(B32:B50)</f>
        <v>1553.6329005772363</v>
      </c>
      <c r="C51" s="380">
        <f>SUM(C32:C50)</f>
        <v>1627.248964787018</v>
      </c>
      <c r="D51" s="380">
        <f>SUM(D32:D50)</f>
        <v>1717.9783341224565</v>
      </c>
      <c r="E51" s="380">
        <f>SUM(E32:E50)</f>
        <v>1819.7281109550383</v>
      </c>
      <c r="F51" s="380">
        <f>SUM(F32:F50)</f>
        <v>1961.3614665469618</v>
      </c>
      <c r="G51" s="380">
        <f aca="true" t="shared" si="8" ref="G51:H51">SUM(G32:G50)</f>
        <v>2103.132272211158</v>
      </c>
      <c r="H51" s="381">
        <f t="shared" si="8"/>
        <v>2250.037322956653</v>
      </c>
      <c r="I51" s="380">
        <f>SUM(I32:I50)</f>
        <v>2342.072046267849</v>
      </c>
      <c r="J51" s="380">
        <f aca="true" t="shared" si="9" ref="J51:K51">SUM(J32:J50)</f>
        <v>2484.7872557575656</v>
      </c>
      <c r="K51" s="380">
        <f t="shared" si="9"/>
        <v>2644.2934723974686</v>
      </c>
      <c r="L51" s="370">
        <f>SUM(L32:L50)</f>
        <v>2823.2794634923143</v>
      </c>
      <c r="M51" s="379">
        <f>SUM(M32:M50)</f>
        <v>3038.232989007008</v>
      </c>
      <c r="N51" s="370">
        <f>SUM(N32:N50)</f>
        <v>3288.8482310284085</v>
      </c>
      <c r="O51" s="379">
        <f aca="true" t="shared" si="10" ref="O51:S51">SUM(O32:O50)</f>
        <v>3583.430097412922</v>
      </c>
      <c r="P51" s="380">
        <f t="shared" si="10"/>
        <v>3945.4948162302394</v>
      </c>
      <c r="Q51" s="380">
        <f t="shared" si="10"/>
        <v>4406.6338215722435</v>
      </c>
      <c r="R51" s="380">
        <f t="shared" si="10"/>
        <v>5018.219784289294</v>
      </c>
      <c r="S51" s="370">
        <f t="shared" si="10"/>
        <v>5864.725449726261</v>
      </c>
      <c r="T51" s="377"/>
      <c r="U51" s="377"/>
    </row>
    <row r="52" spans="1:21" ht="15" customHeight="1">
      <c r="A52" s="374"/>
      <c r="B52" s="375"/>
      <c r="C52" s="375"/>
      <c r="D52" s="382"/>
      <c r="E52" s="375"/>
      <c r="F52" s="375"/>
      <c r="G52" s="375"/>
      <c r="H52" s="376"/>
      <c r="I52" s="375"/>
      <c r="J52" s="375"/>
      <c r="K52" s="375"/>
      <c r="L52" s="375"/>
      <c r="M52" s="375"/>
      <c r="N52" s="375"/>
      <c r="O52" s="377"/>
      <c r="Q52" s="377"/>
      <c r="R52" s="371"/>
      <c r="S52" s="236"/>
      <c r="T52" s="377"/>
      <c r="U52" s="377"/>
    </row>
    <row r="53" spans="1:21" ht="15" customHeight="1">
      <c r="A53" s="371"/>
      <c r="B53" s="371"/>
      <c r="C53" s="371"/>
      <c r="D53" s="374"/>
      <c r="E53" s="374"/>
      <c r="F53" s="374"/>
      <c r="G53" s="374"/>
      <c r="H53" s="383"/>
      <c r="I53" s="371"/>
      <c r="J53" s="371"/>
      <c r="K53" s="371"/>
      <c r="L53" s="371"/>
      <c r="M53" s="371"/>
      <c r="N53" s="374"/>
      <c r="O53" s="377"/>
      <c r="P53" s="371"/>
      <c r="Q53" s="377"/>
      <c r="R53" s="371"/>
      <c r="S53" s="236"/>
      <c r="T53" s="377"/>
      <c r="U53" s="377"/>
    </row>
    <row r="54" spans="1:25" s="143" customFormat="1" ht="15" customHeight="1">
      <c r="A54" s="371"/>
      <c r="B54" s="371"/>
      <c r="C54" s="371"/>
      <c r="D54" s="371"/>
      <c r="E54" s="371"/>
      <c r="F54" s="371"/>
      <c r="G54" s="371"/>
      <c r="H54" s="384"/>
      <c r="I54" s="371"/>
      <c r="J54" s="371"/>
      <c r="K54" s="371"/>
      <c r="L54" s="371"/>
      <c r="M54" s="371"/>
      <c r="N54" s="371"/>
      <c r="O54" s="374"/>
      <c r="P54" s="374"/>
      <c r="Q54" s="385"/>
      <c r="R54" s="374"/>
      <c r="T54" s="143"/>
      <c r="U54" s="143"/>
      <c r="V54" s="143"/>
      <c r="W54" s="143"/>
      <c r="X54" s="143"/>
      <c r="Y54" s="143"/>
    </row>
    <row r="55" spans="1:25" s="143" customFormat="1" ht="15" customHeight="1">
      <c r="A55" s="371"/>
      <c r="B55" s="371"/>
      <c r="C55" s="371"/>
      <c r="D55" s="371"/>
      <c r="E55" s="371"/>
      <c r="F55" s="371"/>
      <c r="G55" s="371"/>
      <c r="H55" s="384"/>
      <c r="I55" s="371"/>
      <c r="J55" s="371"/>
      <c r="K55" s="371"/>
      <c r="L55" s="371"/>
      <c r="M55" s="371"/>
      <c r="N55" s="371"/>
      <c r="O55" s="374"/>
      <c r="P55" s="374"/>
      <c r="Q55" s="385"/>
      <c r="R55" s="374"/>
      <c r="T55" s="143"/>
      <c r="U55" s="143"/>
      <c r="V55" s="143"/>
      <c r="W55" s="143"/>
      <c r="X55" s="143"/>
      <c r="Y55" s="143"/>
    </row>
    <row r="56" spans="1:25" s="143" customFormat="1" ht="30" customHeight="1">
      <c r="A56" s="151" t="s">
        <v>330</v>
      </c>
      <c r="B56" s="153">
        <v>2013</v>
      </c>
      <c r="C56" s="152">
        <v>2014</v>
      </c>
      <c r="D56" s="152">
        <v>2015</v>
      </c>
      <c r="E56" s="152">
        <v>2016</v>
      </c>
      <c r="F56" s="152">
        <v>2017</v>
      </c>
      <c r="G56" s="152">
        <v>2018</v>
      </c>
      <c r="H56" s="386">
        <v>2019</v>
      </c>
      <c r="I56" s="152">
        <v>2020</v>
      </c>
      <c r="J56" s="152">
        <v>2021</v>
      </c>
      <c r="K56" s="152">
        <v>2022</v>
      </c>
      <c r="L56" s="154">
        <v>2023</v>
      </c>
      <c r="M56" s="153">
        <v>2024</v>
      </c>
      <c r="N56" s="154">
        <v>2025</v>
      </c>
      <c r="O56" s="153">
        <v>2026</v>
      </c>
      <c r="P56" s="152">
        <v>2027</v>
      </c>
      <c r="Q56" s="152">
        <v>2028</v>
      </c>
      <c r="R56" s="152">
        <v>2029</v>
      </c>
      <c r="S56" s="154">
        <v>2030</v>
      </c>
      <c r="T56" s="439"/>
      <c r="U56" s="143"/>
      <c r="V56" s="440"/>
      <c r="W56" s="440"/>
      <c r="X56" s="440"/>
      <c r="Y56" s="440"/>
    </row>
    <row r="57" spans="1:20" ht="15" customHeight="1">
      <c r="A57" s="155" t="s">
        <v>74</v>
      </c>
      <c r="B57" s="159">
        <f>'DATA MetaMetaverse'!F105*'DATA MetaMetaverse'!F85/1000</f>
        <v>82.58831416080828</v>
      </c>
      <c r="C57" s="160">
        <f>'DATA MetaMetaverse'!G105*'DATA MetaMetaverse'!G85/1000</f>
        <v>78.45889845276785</v>
      </c>
      <c r="D57" s="160">
        <f>'DATA MetaMetaverse'!H105*'DATA MetaMetaverse'!H85/1000</f>
        <v>74.53595353012946</v>
      </c>
      <c r="E57" s="160">
        <f>'DATA MetaMetaverse'!I105*'DATA MetaMetaverse'!I85/1000</f>
        <v>70.80915585362298</v>
      </c>
      <c r="F57" s="160">
        <f>'DATA MetaMetaverse'!J105*'DATA MetaMetaverse'!J85/1000</f>
        <v>67.26869806094184</v>
      </c>
      <c r="G57" s="160">
        <f>'DATA MetaMetaverse'!K105*'DATA MetaMetaverse'!K85/1000</f>
        <v>63.90526315789474</v>
      </c>
      <c r="H57" s="160">
        <f>'DATA MetaMetaverse'!L105*'DATA MetaMetaverse'!L85/1000</f>
        <v>60.71</v>
      </c>
      <c r="I57" s="160">
        <f>'DATA MetaMetaverse'!M105*'DATA MetaMetaverse'!M85/1000</f>
        <v>60.1029</v>
      </c>
      <c r="J57" s="160">
        <f>'DATA MetaMetaverse'!N105*'DATA MetaMetaverse'!N85/1000</f>
        <v>59.501870999999994</v>
      </c>
      <c r="K57" s="160">
        <f>'DATA MetaMetaverse'!O105*'DATA MetaMetaverse'!O85/1000</f>
        <v>58.906852289999996</v>
      </c>
      <c r="L57" s="161">
        <f>'DATA MetaMetaverse'!P105*'DATA MetaMetaverse'!P85/1000</f>
        <v>58.31778376709999</v>
      </c>
      <c r="M57" s="159">
        <f>'DATA MetaMetaverse'!Q105*'DATA MetaMetaverse'!Q85/1000</f>
        <v>57.73460592942899</v>
      </c>
      <c r="N57" s="161">
        <f>'DATA MetaMetaverse'!R105*'DATA MetaMetaverse'!R85/1000</f>
        <v>57.157259870134695</v>
      </c>
      <c r="O57" s="159">
        <f>'DATA MetaMetaverse'!S105*'DATA MetaMetaverse'!S85/1000</f>
        <v>56.58568727143335</v>
      </c>
      <c r="P57" s="160">
        <f>'DATA MetaMetaverse'!T105*'DATA MetaMetaverse'!T85/1000</f>
        <v>56.019830398719016</v>
      </c>
      <c r="Q57" s="160">
        <f>'DATA MetaMetaverse'!U105*'DATA MetaMetaverse'!U85/1000</f>
        <v>55.45963209473182</v>
      </c>
      <c r="R57" s="160">
        <f>'DATA MetaMetaverse'!V105*'DATA MetaMetaverse'!V85/1000</f>
        <v>54.905035773784505</v>
      </c>
      <c r="S57" s="161">
        <f>'DATA MetaMetaverse'!W105*'DATA MetaMetaverse'!W85/1000</f>
        <v>54.35598541604666</v>
      </c>
      <c r="T57" s="441"/>
    </row>
    <row r="58" spans="1:20" ht="15" customHeight="1">
      <c r="A58" s="155" t="s">
        <v>76</v>
      </c>
      <c r="B58" s="159">
        <f>'DATA MetaMetaverse'!F106*'DATA MetaMetaverse'!F86/1000</f>
        <v>42.711697090866366</v>
      </c>
      <c r="C58" s="160">
        <f>'DATA MetaMetaverse'!G106*'DATA MetaMetaverse'!G86/1000</f>
        <v>43.99304800359236</v>
      </c>
      <c r="D58" s="160">
        <f>'DATA MetaMetaverse'!H106*'DATA MetaMetaverse'!H86/1000</f>
        <v>45.31283944370013</v>
      </c>
      <c r="E58" s="160">
        <f>'DATA MetaMetaverse'!I106*'DATA MetaMetaverse'!I86/1000</f>
        <v>46.672224627011126</v>
      </c>
      <c r="F58" s="160">
        <f>'DATA MetaMetaverse'!J106*'DATA MetaMetaverse'!J86/1000</f>
        <v>48.07239136582147</v>
      </c>
      <c r="G58" s="160">
        <f>'DATA MetaMetaverse'!K106*'DATA MetaMetaverse'!K86/1000</f>
        <v>49.51456310679612</v>
      </c>
      <c r="H58" s="160">
        <f>'DATA MetaMetaverse'!L106*'DATA MetaMetaverse'!L86/1000</f>
        <v>51</v>
      </c>
      <c r="I58" s="160">
        <f>'DATA MetaMetaverse'!M106*'DATA MetaMetaverse'!M86/1000</f>
        <v>59.5</v>
      </c>
      <c r="J58" s="160">
        <f>'DATA MetaMetaverse'!N106*'DATA MetaMetaverse'!N86/1000</f>
        <v>59.5</v>
      </c>
      <c r="K58" s="160">
        <f>'DATA MetaMetaverse'!O106*'DATA MetaMetaverse'!O86/1000</f>
        <v>61.28500000000001</v>
      </c>
      <c r="L58" s="161">
        <f>'DATA MetaMetaverse'!P106*'DATA MetaMetaverse'!P86/1000</f>
        <v>63.12355</v>
      </c>
      <c r="M58" s="159">
        <f>'DATA MetaMetaverse'!Q106*'DATA MetaMetaverse'!Q86/1000</f>
        <v>65.0172565</v>
      </c>
      <c r="N58" s="161">
        <f>'DATA MetaMetaverse'!R106*'DATA MetaMetaverse'!R86/1000</f>
        <v>66.967774195</v>
      </c>
      <c r="O58" s="159">
        <f>'DATA MetaMetaverse'!S106*'DATA MetaMetaverse'!S86/1000</f>
        <v>68.97680742085001</v>
      </c>
      <c r="P58" s="160">
        <f>'DATA MetaMetaverse'!T106*'DATA MetaMetaverse'!T86/1000</f>
        <v>71.04611164347551</v>
      </c>
      <c r="Q58" s="160">
        <f>'DATA MetaMetaverse'!U106*'DATA MetaMetaverse'!U86/1000</f>
        <v>73.17749499277978</v>
      </c>
      <c r="R58" s="160">
        <f>'DATA MetaMetaverse'!V106*'DATA MetaMetaverse'!V86/1000</f>
        <v>75.37281984256319</v>
      </c>
      <c r="S58" s="161">
        <f>'DATA MetaMetaverse'!W106*'DATA MetaMetaverse'!W86/1000</f>
        <v>77.63400443784008</v>
      </c>
      <c r="T58" s="441"/>
    </row>
    <row r="59" spans="1:20" ht="15" customHeight="1">
      <c r="A59" s="155" t="s">
        <v>78</v>
      </c>
      <c r="B59" s="159">
        <f>'DATA MetaMetaverse'!F107*'DATA MetaMetaverse'!F87/1000</f>
        <v>49.547513061936534</v>
      </c>
      <c r="C59" s="160">
        <f>'DATA MetaMetaverse'!G107*'DATA MetaMetaverse'!G87/1000</f>
        <v>49.052037931317166</v>
      </c>
      <c r="D59" s="160">
        <f>'DATA MetaMetaverse'!H107*'DATA MetaMetaverse'!H87/1000</f>
        <v>48.56151755200399</v>
      </c>
      <c r="E59" s="160">
        <f>'DATA MetaMetaverse'!I107*'DATA MetaMetaverse'!I87/1000</f>
        <v>48.07590237648395</v>
      </c>
      <c r="F59" s="160">
        <f>'DATA MetaMetaverse'!J107*'DATA MetaMetaverse'!J87/1000</f>
        <v>47.59514335271911</v>
      </c>
      <c r="G59" s="160">
        <f>'DATA MetaMetaverse'!K107*'DATA MetaMetaverse'!K87/1000</f>
        <v>47.11919191919192</v>
      </c>
      <c r="H59" s="160">
        <f>'DATA MetaMetaverse'!L107*'DATA MetaMetaverse'!L87/1000</f>
        <v>46.648</v>
      </c>
      <c r="I59" s="160">
        <f>'DATA MetaMetaverse'!M107*'DATA MetaMetaverse'!M87/1000</f>
        <v>47.11448</v>
      </c>
      <c r="J59" s="160">
        <f>'DATA MetaMetaverse'!N107*'DATA MetaMetaverse'!N87/1000</f>
        <v>47.585624800000005</v>
      </c>
      <c r="K59" s="160">
        <f>'DATA MetaMetaverse'!O107*'DATA MetaMetaverse'!O87/1000</f>
        <v>48.061481048000005</v>
      </c>
      <c r="L59" s="161">
        <f>'DATA MetaMetaverse'!P107*'DATA MetaMetaverse'!P87/1000</f>
        <v>48.54209585848001</v>
      </c>
      <c r="M59" s="159">
        <f>'DATA MetaMetaverse'!Q107*'DATA MetaMetaverse'!Q87/1000</f>
        <v>49.0275168170648</v>
      </c>
      <c r="N59" s="161">
        <f>'DATA MetaMetaverse'!R107*'DATA MetaMetaverse'!R87/1000</f>
        <v>49.517791985235455</v>
      </c>
      <c r="O59" s="159">
        <f>'DATA MetaMetaverse'!S107*'DATA MetaMetaverse'!S87/1000</f>
        <v>50.012969905087814</v>
      </c>
      <c r="P59" s="160">
        <f>'DATA MetaMetaverse'!T107*'DATA MetaMetaverse'!T87/1000</f>
        <v>50.51309960413869</v>
      </c>
      <c r="Q59" s="160">
        <f>'DATA MetaMetaverse'!U107*'DATA MetaMetaverse'!U87/1000</f>
        <v>51.018230600180075</v>
      </c>
      <c r="R59" s="160">
        <f>'DATA MetaMetaverse'!V107*'DATA MetaMetaverse'!V87/1000</f>
        <v>51.52841290618188</v>
      </c>
      <c r="S59" s="161">
        <f>'DATA MetaMetaverse'!W107*'DATA MetaMetaverse'!W87/1000</f>
        <v>52.04369703524369</v>
      </c>
      <c r="T59" s="441"/>
    </row>
    <row r="60" spans="1:20" ht="15" customHeight="1">
      <c r="A60" s="155" t="s">
        <v>79</v>
      </c>
      <c r="B60" s="159">
        <f>'DATA MetaMetaverse'!F108*'DATA MetaMetaverse'!F88/1000</f>
        <v>36.268741557286965</v>
      </c>
      <c r="C60" s="160">
        <f>'DATA MetaMetaverse'!G108*'DATA MetaMetaverse'!G88/1000</f>
        <v>36.63142897285984</v>
      </c>
      <c r="D60" s="160">
        <f>'DATA MetaMetaverse'!H108*'DATA MetaMetaverse'!H88/1000</f>
        <v>36.99774326258843</v>
      </c>
      <c r="E60" s="160">
        <f>'DATA MetaMetaverse'!I108*'DATA MetaMetaverse'!I88/1000</f>
        <v>37.36772069521431</v>
      </c>
      <c r="F60" s="160">
        <f>'DATA MetaMetaverse'!J108*'DATA MetaMetaverse'!J88/1000</f>
        <v>37.741397902166455</v>
      </c>
      <c r="G60" s="160">
        <f>'DATA MetaMetaverse'!K108*'DATA MetaMetaverse'!K88/1000</f>
        <v>38.11881188118812</v>
      </c>
      <c r="H60" s="160">
        <f>'DATA MetaMetaverse'!L108*'DATA MetaMetaverse'!L88/1000</f>
        <v>38.5</v>
      </c>
      <c r="I60" s="160">
        <f>'DATA MetaMetaverse'!M108*'DATA MetaMetaverse'!M88/1000</f>
        <v>38.885</v>
      </c>
      <c r="J60" s="160">
        <f>'DATA MetaMetaverse'!N108*'DATA MetaMetaverse'!N88/1000</f>
        <v>39.27385</v>
      </c>
      <c r="K60" s="160">
        <f>'DATA MetaMetaverse'!O108*'DATA MetaMetaverse'!O88/1000</f>
        <v>39.6665885</v>
      </c>
      <c r="L60" s="161">
        <f>'DATA MetaMetaverse'!P108*'DATA MetaMetaverse'!P88/1000</f>
        <v>40.06325438500001</v>
      </c>
      <c r="M60" s="159">
        <f>'DATA MetaMetaverse'!Q108*'DATA MetaMetaverse'!Q88/1000</f>
        <v>40.463886928850016</v>
      </c>
      <c r="N60" s="161">
        <f>'DATA MetaMetaverse'!R108*'DATA MetaMetaverse'!R88/1000</f>
        <v>40.86852579813851</v>
      </c>
      <c r="O60" s="159">
        <f>'DATA MetaMetaverse'!S108*'DATA MetaMetaverse'!S88/1000</f>
        <v>41.2772110561199</v>
      </c>
      <c r="P60" s="160">
        <f>'DATA MetaMetaverse'!T108*'DATA MetaMetaverse'!T88/1000</f>
        <v>41.6899831666811</v>
      </c>
      <c r="Q60" s="160">
        <f>'DATA MetaMetaverse'!U108*'DATA MetaMetaverse'!U88/1000</f>
        <v>42.106882998347906</v>
      </c>
      <c r="R60" s="160">
        <f>'DATA MetaMetaverse'!V108*'DATA MetaMetaverse'!V88/1000</f>
        <v>42.52795182833139</v>
      </c>
      <c r="S60" s="161">
        <f>'DATA MetaMetaverse'!W108*'DATA MetaMetaverse'!W88/1000</f>
        <v>42.95323134661471</v>
      </c>
      <c r="T60" s="441"/>
    </row>
    <row r="61" spans="1:20" ht="15" customHeight="1">
      <c r="A61" s="155" t="s">
        <v>81</v>
      </c>
      <c r="B61" s="159">
        <f>'DATA MetaMetaverse'!F109*'DATA MetaMetaverse'!F89/1000</f>
        <v>105.30875973176784</v>
      </c>
      <c r="C61" s="160">
        <f>'DATA MetaMetaverse'!G109*'DATA MetaMetaverse'!G89/1000</f>
        <v>112.36444663379626</v>
      </c>
      <c r="D61" s="160">
        <f>'DATA MetaMetaverse'!H109*'DATA MetaMetaverse'!H89/1000</f>
        <v>119.89286455826063</v>
      </c>
      <c r="E61" s="160">
        <f>'DATA MetaMetaverse'!I109*'DATA MetaMetaverse'!I89/1000</f>
        <v>127.9256864836641</v>
      </c>
      <c r="F61" s="160">
        <f>'DATA MetaMetaverse'!J109*'DATA MetaMetaverse'!J89/1000</f>
        <v>136.4967074780696</v>
      </c>
      <c r="G61" s="160">
        <f>'DATA MetaMetaverse'!K109*'DATA MetaMetaverse'!K89/1000</f>
        <v>145.64198687910027</v>
      </c>
      <c r="H61" s="160">
        <f>'DATA MetaMetaverse'!L109*'DATA MetaMetaverse'!L89/1000</f>
        <v>155.4</v>
      </c>
      <c r="I61" s="160">
        <f>'DATA MetaMetaverse'!M109*'DATA MetaMetaverse'!M89/1000</f>
        <v>153.75275999999997</v>
      </c>
      <c r="J61" s="160">
        <f>'DATA MetaMetaverse'!N109*'DATA MetaMetaverse'!N89/1000</f>
        <v>152.12298074399996</v>
      </c>
      <c r="K61" s="160">
        <f>'DATA MetaMetaverse'!O109*'DATA MetaMetaverse'!O89/1000</f>
        <v>150.51047714811358</v>
      </c>
      <c r="L61" s="161">
        <f>'DATA MetaMetaverse'!P109*'DATA MetaMetaverse'!P89/1000</f>
        <v>148.91506609034357</v>
      </c>
      <c r="M61" s="159">
        <f>'DATA MetaMetaverse'!Q109*'DATA MetaMetaverse'!Q89/1000</f>
        <v>147.33656638978596</v>
      </c>
      <c r="N61" s="161">
        <f>'DATA MetaMetaverse'!R109*'DATA MetaMetaverse'!R89/1000</f>
        <v>145.77479878605422</v>
      </c>
      <c r="O61" s="159">
        <f>'DATA MetaMetaverse'!S109*'DATA MetaMetaverse'!S89/1000</f>
        <v>144.22958591892206</v>
      </c>
      <c r="P61" s="160">
        <f>'DATA MetaMetaverse'!T109*'DATA MetaMetaverse'!T89/1000</f>
        <v>142.70075230818148</v>
      </c>
      <c r="Q61" s="160">
        <f>'DATA MetaMetaverse'!U109*'DATA MetaMetaverse'!U89/1000</f>
        <v>141.18812433371474</v>
      </c>
      <c r="R61" s="160">
        <f>'DATA MetaMetaverse'!V109*'DATA MetaMetaverse'!V89/1000</f>
        <v>139.69153021577736</v>
      </c>
      <c r="S61" s="161">
        <f>'DATA MetaMetaverse'!W109*'DATA MetaMetaverse'!W89/1000</f>
        <v>138.2107999954901</v>
      </c>
      <c r="T61" s="441"/>
    </row>
    <row r="62" spans="1:20" ht="15" customHeight="1">
      <c r="A62" s="155" t="s">
        <v>30</v>
      </c>
      <c r="B62" s="159">
        <f>'DATA MetaMetaverse'!F110*'DATA MetaMetaverse'!F90/1000</f>
        <v>7.221267288111202</v>
      </c>
      <c r="C62" s="160">
        <f>'DATA MetaMetaverse'!G110*'DATA MetaMetaverse'!G90/1000</f>
        <v>8.65829947844533</v>
      </c>
      <c r="D62" s="160">
        <f>'DATA MetaMetaverse'!H110*'DATA MetaMetaverse'!H90/1000</f>
        <v>10.381301074655953</v>
      </c>
      <c r="E62" s="160">
        <f>'DATA MetaMetaverse'!I110*'DATA MetaMetaverse'!I90/1000</f>
        <v>12.447179988512492</v>
      </c>
      <c r="F62" s="160">
        <f>'DATA MetaMetaverse'!J110*'DATA MetaMetaverse'!J90/1000</f>
        <v>14.924168806226481</v>
      </c>
      <c r="G62" s="160">
        <f>'DATA MetaMetaverse'!K110*'DATA MetaMetaverse'!K90/1000</f>
        <v>17.894078398665552</v>
      </c>
      <c r="H62" s="160">
        <f>'DATA MetaMetaverse'!L110*'DATA MetaMetaverse'!L90/1000</f>
        <v>21.455</v>
      </c>
      <c r="I62" s="160">
        <f>'DATA MetaMetaverse'!M110*'DATA MetaMetaverse'!M90/1000</f>
        <v>24.563829500000004</v>
      </c>
      <c r="J62" s="160">
        <f>'DATA MetaMetaverse'!N110*'DATA MetaMetaverse'!N90/1000</f>
        <v>28.123128394550008</v>
      </c>
      <c r="K62" s="160">
        <f>'DATA MetaMetaverse'!O110*'DATA MetaMetaverse'!O90/1000</f>
        <v>32.19816969892031</v>
      </c>
      <c r="L62" s="161">
        <f>'DATA MetaMetaverse'!P110*'DATA MetaMetaverse'!P90/1000</f>
        <v>36.86368448829387</v>
      </c>
      <c r="M62" s="159">
        <f>'DATA MetaMetaverse'!Q110*'DATA MetaMetaverse'!Q90/1000</f>
        <v>42.20523237064765</v>
      </c>
      <c r="N62" s="161">
        <f>'DATA MetaMetaverse'!R110*'DATA MetaMetaverse'!R90/1000</f>
        <v>48.3207705411545</v>
      </c>
      <c r="O62" s="159">
        <f>'DATA MetaMetaverse'!S110*'DATA MetaMetaverse'!S90/1000</f>
        <v>54.28838570298709</v>
      </c>
      <c r="P62" s="160">
        <f>'DATA MetaMetaverse'!T110*'DATA MetaMetaverse'!T90/1000</f>
        <v>60.99300133730601</v>
      </c>
      <c r="Q62" s="160">
        <f>'DATA MetaMetaverse'!U110*'DATA MetaMetaverse'!U90/1000</f>
        <v>68.52563700246331</v>
      </c>
      <c r="R62" s="160">
        <f>'DATA MetaMetaverse'!V110*'DATA MetaMetaverse'!V90/1000</f>
        <v>76.98855317226752</v>
      </c>
      <c r="S62" s="161">
        <f>'DATA MetaMetaverse'!W110*'DATA MetaMetaverse'!W90/1000</f>
        <v>86.4966394890426</v>
      </c>
      <c r="T62" s="441"/>
    </row>
    <row r="63" spans="1:20" ht="15" customHeight="1">
      <c r="A63" s="155" t="s">
        <v>84</v>
      </c>
      <c r="B63" s="159">
        <f>'DATA MetaMetaverse'!F111*'DATA MetaMetaverse'!F91/1000</f>
        <v>4.301291347009782</v>
      </c>
      <c r="C63" s="160">
        <f>'DATA MetaMetaverse'!G111*'DATA MetaMetaverse'!G91/1000</f>
        <v>4.73142048171076</v>
      </c>
      <c r="D63" s="160">
        <f>'DATA MetaMetaverse'!H111*'DATA MetaMetaverse'!H91/1000</f>
        <v>5.204562529881837</v>
      </c>
      <c r="E63" s="160">
        <f>'DATA MetaMetaverse'!I111*'DATA MetaMetaverse'!I91/1000</f>
        <v>5.725018782870021</v>
      </c>
      <c r="F63" s="160">
        <f>'DATA MetaMetaverse'!J111*'DATA MetaMetaverse'!J91/1000</f>
        <v>6.297520661157024</v>
      </c>
      <c r="G63" s="160">
        <f>'DATA MetaMetaverse'!K111*'DATA MetaMetaverse'!K91/1000</f>
        <v>6.927272727272727</v>
      </c>
      <c r="H63" s="160">
        <f>'DATA MetaMetaverse'!L111*'DATA MetaMetaverse'!L91/1000</f>
        <v>7.62</v>
      </c>
      <c r="I63" s="160">
        <f>'DATA MetaMetaverse'!M111*'DATA MetaMetaverse'!M91/1000</f>
        <v>8.305800000000001</v>
      </c>
      <c r="J63" s="160">
        <f>'DATA MetaMetaverse'!N111*'DATA MetaMetaverse'!N91/1000</f>
        <v>9.053322000000001</v>
      </c>
      <c r="K63" s="160">
        <f>'DATA MetaMetaverse'!O111*'DATA MetaMetaverse'!O91/1000</f>
        <v>9.868120980000004</v>
      </c>
      <c r="L63" s="161">
        <f>'DATA MetaMetaverse'!P111*'DATA MetaMetaverse'!P91/1000</f>
        <v>10.756251868200005</v>
      </c>
      <c r="M63" s="159">
        <f>'DATA MetaMetaverse'!Q111*'DATA MetaMetaverse'!Q91/1000</f>
        <v>11.724314536338007</v>
      </c>
      <c r="N63" s="161">
        <f>'DATA MetaMetaverse'!R111*'DATA MetaMetaverse'!R91/1000</f>
        <v>12.779502844608425</v>
      </c>
      <c r="O63" s="159">
        <f>'DATA MetaMetaverse'!S111*'DATA MetaMetaverse'!S91/1000</f>
        <v>13.929658100623184</v>
      </c>
      <c r="P63" s="160">
        <f>'DATA MetaMetaverse'!T111*'DATA MetaMetaverse'!T91/1000</f>
        <v>15.183327329679273</v>
      </c>
      <c r="Q63" s="160">
        <f>'DATA MetaMetaverse'!U111*'DATA MetaMetaverse'!U91/1000</f>
        <v>16.54982678935041</v>
      </c>
      <c r="R63" s="160">
        <f>'DATA MetaMetaverse'!V111*'DATA MetaMetaverse'!V91/1000</f>
        <v>18.039311200391946</v>
      </c>
      <c r="S63" s="161">
        <f>'DATA MetaMetaverse'!W111*'DATA MetaMetaverse'!W91/1000</f>
        <v>19.66284920842722</v>
      </c>
      <c r="T63" s="441"/>
    </row>
    <row r="64" spans="1:20" ht="15" customHeight="1">
      <c r="A64" s="155" t="s">
        <v>86</v>
      </c>
      <c r="B64" s="159">
        <f>'DATA MetaMetaverse'!F112*'DATA MetaMetaverse'!F92/1000</f>
        <v>5.732474550357578</v>
      </c>
      <c r="C64" s="160">
        <f>'DATA MetaMetaverse'!G112*'DATA MetaMetaverse'!G92/1000</f>
        <v>4.872603367803941</v>
      </c>
      <c r="D64" s="160">
        <f>'DATA MetaMetaverse'!H112*'DATA MetaMetaverse'!H92/1000</f>
        <v>4.14171286263335</v>
      </c>
      <c r="E64" s="160">
        <f>'DATA MetaMetaverse'!I112*'DATA MetaMetaverse'!I92/1000</f>
        <v>3.520455933238347</v>
      </c>
      <c r="F64" s="160">
        <f>'DATA MetaMetaverse'!J112*'DATA MetaMetaverse'!J92/1000</f>
        <v>2.9923875432525953</v>
      </c>
      <c r="G64" s="160">
        <f>'DATA MetaMetaverse'!K112*'DATA MetaMetaverse'!K92/1000</f>
        <v>2.543529411764706</v>
      </c>
      <c r="H64" s="160">
        <f>'DATA MetaMetaverse'!L112*'DATA MetaMetaverse'!L92/1000</f>
        <v>2.162</v>
      </c>
      <c r="I64" s="160">
        <f>'DATA MetaMetaverse'!M112*'DATA MetaMetaverse'!M92/1000</f>
        <v>1.9674200000000002</v>
      </c>
      <c r="J64" s="160">
        <f>'DATA MetaMetaverse'!N112*'DATA MetaMetaverse'!N92/1000</f>
        <v>1.7903522</v>
      </c>
      <c r="K64" s="160">
        <f>'DATA MetaMetaverse'!O112*'DATA MetaMetaverse'!O92/1000</f>
        <v>1.6292205020000001</v>
      </c>
      <c r="L64" s="161">
        <f>'DATA MetaMetaverse'!P112*'DATA MetaMetaverse'!P92/1000</f>
        <v>1.4825906568200002</v>
      </c>
      <c r="M64" s="159">
        <f>'DATA MetaMetaverse'!Q112*'DATA MetaMetaverse'!Q92/1000</f>
        <v>1.3491574977062002</v>
      </c>
      <c r="N64" s="161">
        <f>'DATA MetaMetaverse'!R112*'DATA MetaMetaverse'!R92/1000</f>
        <v>1.2277333229126424</v>
      </c>
      <c r="O64" s="159">
        <f>'DATA MetaMetaverse'!S112*'DATA MetaMetaverse'!S92/1000</f>
        <v>1.1172373238505044</v>
      </c>
      <c r="P64" s="160">
        <f>'DATA MetaMetaverse'!T112*'DATA MetaMetaverse'!T92/1000</f>
        <v>1.0166859647039592</v>
      </c>
      <c r="Q64" s="160">
        <f>'DATA MetaMetaverse'!U112*'DATA MetaMetaverse'!U92/1000</f>
        <v>0.9251842278806028</v>
      </c>
      <c r="R64" s="160">
        <f>'DATA MetaMetaverse'!V112*'DATA MetaMetaverse'!V92/1000</f>
        <v>0.8419176473713486</v>
      </c>
      <c r="S64" s="161">
        <f>'DATA MetaMetaverse'!W112*'DATA MetaMetaverse'!W92/1000</f>
        <v>0.7661450591079273</v>
      </c>
      <c r="T64" s="441"/>
    </row>
    <row r="65" spans="1:25" ht="15" customHeight="1">
      <c r="A65" s="212" t="s">
        <v>88</v>
      </c>
      <c r="B65" s="159">
        <f>'DATA MetaMetaverse'!F113*'DATA MetaMetaverse'!F93/1000</f>
        <v>19.059965952</v>
      </c>
      <c r="C65" s="160">
        <f>'DATA MetaMetaverse'!G113*'DATA MetaMetaverse'!G93/1000</f>
        <v>23.824957440000002</v>
      </c>
      <c r="D65" s="160">
        <f>'DATA MetaMetaverse'!H113*'DATA MetaMetaverse'!H93/1000</f>
        <v>29.7811968</v>
      </c>
      <c r="E65" s="160">
        <f>'DATA MetaMetaverse'!I113*'DATA MetaMetaverse'!I93/1000</f>
        <v>37.226496</v>
      </c>
      <c r="F65" s="160">
        <f>'DATA MetaMetaverse'!J113*'DATA MetaMetaverse'!J93/1000</f>
        <v>46.53312</v>
      </c>
      <c r="G65" s="160">
        <f>'DATA MetaMetaverse'!K113*'DATA MetaMetaverse'!K93/1000</f>
        <v>58.1664</v>
      </c>
      <c r="H65" s="160">
        <f>'DATA MetaMetaverse'!L113*'DATA MetaMetaverse'!L93/1000</f>
        <v>72.708</v>
      </c>
      <c r="I65" s="160">
        <f>'DATA MetaMetaverse'!M113*'DATA MetaMetaverse'!M93/1000</f>
        <v>80.814942</v>
      </c>
      <c r="J65" s="160">
        <f>'DATA MetaMetaverse'!N113*'DATA MetaMetaverse'!N93/1000</f>
        <v>89.82580803299997</v>
      </c>
      <c r="K65" s="160">
        <f>'DATA MetaMetaverse'!O113*'DATA MetaMetaverse'!O93/1000</f>
        <v>99.84138562867948</v>
      </c>
      <c r="L65" s="161">
        <f>'DATA MetaMetaverse'!P113*'DATA MetaMetaverse'!P93/1000</f>
        <v>110.97370012627722</v>
      </c>
      <c r="M65" s="159">
        <f>'DATA MetaMetaverse'!Q113*'DATA MetaMetaverse'!Q93/1000</f>
        <v>130.50507134850199</v>
      </c>
      <c r="N65" s="161">
        <f>'DATA MetaMetaverse'!R113*'DATA MetaMetaverse'!R93/1000</f>
        <v>153.47396390583836</v>
      </c>
      <c r="O65" s="159">
        <f>'DATA MetaMetaverse'!S113*'DATA MetaMetaverse'!S93/1000</f>
        <v>180.4853815532659</v>
      </c>
      <c r="P65" s="160">
        <f>'DATA MetaMetaverse'!T113*'DATA MetaMetaverse'!T93/1000</f>
        <v>212.25080870664067</v>
      </c>
      <c r="Q65" s="160">
        <f>'DATA MetaMetaverse'!U113*'DATA MetaMetaverse'!U93/1000</f>
        <v>249.6069510390094</v>
      </c>
      <c r="R65" s="160">
        <f>'DATA MetaMetaverse'!V113*'DATA MetaMetaverse'!V93/1000</f>
        <v>293.53777442187504</v>
      </c>
      <c r="S65" s="161">
        <f>'DATA MetaMetaverse'!W113*'DATA MetaMetaverse'!W93/1000</f>
        <v>345.200422720125</v>
      </c>
      <c r="T65" s="441"/>
      <c r="V65" s="208"/>
      <c r="W65" s="208"/>
      <c r="X65" s="208"/>
      <c r="Y65" s="208"/>
    </row>
    <row r="66" spans="1:25" ht="15" customHeight="1">
      <c r="A66" s="155" t="s">
        <v>90</v>
      </c>
      <c r="B66" s="159">
        <f>'DATA MetaMetaverse'!F114*'DATA MetaMetaverse'!F94/1000</f>
        <v>526.7244647479677</v>
      </c>
      <c r="C66" s="160">
        <f>'DATA MetaMetaverse'!G114*'DATA MetaMetaverse'!G94/1000</f>
        <v>523.9328250848033</v>
      </c>
      <c r="D66" s="160">
        <f>'DATA MetaMetaverse'!H114*'DATA MetaMetaverse'!H94/1000</f>
        <v>521.1559811118537</v>
      </c>
      <c r="E66" s="160">
        <f>'DATA MetaMetaverse'!I114*'DATA MetaMetaverse'!I94/1000</f>
        <v>518.3938544119609</v>
      </c>
      <c r="F66" s="160">
        <f>'DATA MetaMetaverse'!J114*'DATA MetaMetaverse'!J94/1000</f>
        <v>515.6463669835774</v>
      </c>
      <c r="G66" s="160">
        <f>'DATA MetaMetaverse'!K114*'DATA MetaMetaverse'!K94/1000</f>
        <v>512.9134412385645</v>
      </c>
      <c r="H66" s="160">
        <f>'DATA MetaMetaverse'!L114*'DATA MetaMetaverse'!L94/1000</f>
        <v>510.195</v>
      </c>
      <c r="I66" s="160">
        <f>'DATA MetaMetaverse'!M114*'DATA MetaMetaverse'!M94/1000</f>
        <v>533.38336275</v>
      </c>
      <c r="J66" s="160">
        <f>'DATA MetaMetaverse'!N114*'DATA MetaMetaverse'!N94/1000</f>
        <v>557.6256365869875</v>
      </c>
      <c r="K66" s="160">
        <f>'DATA MetaMetaverse'!O114*'DATA MetaMetaverse'!O94/1000</f>
        <v>582.969721769866</v>
      </c>
      <c r="L66" s="161">
        <f>'DATA MetaMetaverse'!P114*'DATA MetaMetaverse'!P94/1000</f>
        <v>609.4656956243065</v>
      </c>
      <c r="M66" s="159">
        <f>'DATA MetaMetaverse'!Q114*'DATA MetaMetaverse'!Q94/1000</f>
        <v>637.1659114904312</v>
      </c>
      <c r="N66" s="161">
        <f>'DATA MetaMetaverse'!R114*'DATA MetaMetaverse'!R94/1000</f>
        <v>666.1251021676712</v>
      </c>
      <c r="O66" s="159">
        <f>'DATA MetaMetaverse'!S114*'DATA MetaMetaverse'!S94/1000</f>
        <v>696.4004880611917</v>
      </c>
      <c r="P66" s="160">
        <f>'DATA MetaMetaverse'!T114*'DATA MetaMetaverse'!T94/1000</f>
        <v>728.0518902435728</v>
      </c>
      <c r="Q66" s="160">
        <f>'DATA MetaMetaverse'!U114*'DATA MetaMetaverse'!U94/1000</f>
        <v>761.1418486551431</v>
      </c>
      <c r="R66" s="160">
        <f>'DATA MetaMetaverse'!V114*'DATA MetaMetaverse'!V94/1000</f>
        <v>795.7357456765195</v>
      </c>
      <c r="S66" s="161">
        <f>'DATA MetaMetaverse'!W114*'DATA MetaMetaverse'!W94/1000</f>
        <v>831.9019353175173</v>
      </c>
      <c r="T66" s="441"/>
      <c r="V66" s="208"/>
      <c r="W66" s="208"/>
      <c r="X66" s="208"/>
      <c r="Y66" s="208"/>
    </row>
    <row r="67" spans="1:25" ht="15" customHeight="1">
      <c r="A67" s="155" t="s">
        <v>92</v>
      </c>
      <c r="B67" s="159">
        <f>'DATA MetaMetaverse'!F115*'DATA MetaMetaverse'!F95/1000</f>
        <v>12.418426461183097</v>
      </c>
      <c r="C67" s="160">
        <f>'DATA MetaMetaverse'!G115*'DATA MetaMetaverse'!G95/1000</f>
        <v>13.660269107301408</v>
      </c>
      <c r="D67" s="160">
        <f>'DATA MetaMetaverse'!H115*'DATA MetaMetaverse'!H95/1000</f>
        <v>15.026296018031552</v>
      </c>
      <c r="E67" s="160">
        <f>'DATA MetaMetaverse'!I115*'DATA MetaMetaverse'!I95/1000</f>
        <v>16.528925619834705</v>
      </c>
      <c r="F67" s="160">
        <f>'DATA MetaMetaverse'!J115*'DATA MetaMetaverse'!J95/1000</f>
        <v>18.181818181818176</v>
      </c>
      <c r="G67" s="160">
        <f>'DATA MetaMetaverse'!K115*'DATA MetaMetaverse'!K95/1000</f>
        <v>19.999999999999996</v>
      </c>
      <c r="H67" s="160">
        <f>'DATA MetaMetaverse'!L115*'DATA MetaMetaverse'!L95/1000</f>
        <v>22</v>
      </c>
      <c r="I67" s="160">
        <f>'DATA MetaMetaverse'!M115*'DATA MetaMetaverse'!M95/1000</f>
        <v>24.2</v>
      </c>
      <c r="J67" s="160">
        <f>'DATA MetaMetaverse'!N115*'DATA MetaMetaverse'!N95/1000</f>
        <v>26.62</v>
      </c>
      <c r="K67" s="160">
        <f>'DATA MetaMetaverse'!O115*'DATA MetaMetaverse'!O95/1000</f>
        <v>29.282000000000004</v>
      </c>
      <c r="L67" s="161">
        <f>'DATA MetaMetaverse'!P115*'DATA MetaMetaverse'!P95/1000</f>
        <v>32.21020000000001</v>
      </c>
      <c r="M67" s="159">
        <f>'DATA MetaMetaverse'!Q115*'DATA MetaMetaverse'!Q95/1000</f>
        <v>35.43122000000001</v>
      </c>
      <c r="N67" s="161">
        <f>'DATA MetaMetaverse'!R115*'DATA MetaMetaverse'!R95/1000</f>
        <v>38.974342000000014</v>
      </c>
      <c r="O67" s="159">
        <f>'DATA MetaMetaverse'!S115*'DATA MetaMetaverse'!S95/1000</f>
        <v>42.87177620000001</v>
      </c>
      <c r="P67" s="160">
        <f>'DATA MetaMetaverse'!T115*'DATA MetaMetaverse'!T95/1000</f>
        <v>47.158953820000015</v>
      </c>
      <c r="Q67" s="160">
        <f>'DATA MetaMetaverse'!U115*'DATA MetaMetaverse'!U95/1000</f>
        <v>51.87484920200003</v>
      </c>
      <c r="R67" s="160">
        <f>'DATA MetaMetaverse'!V115*'DATA MetaMetaverse'!V95/1000</f>
        <v>57.06233412220003</v>
      </c>
      <c r="S67" s="161">
        <f>'DATA MetaMetaverse'!W115*'DATA MetaMetaverse'!W95/1000</f>
        <v>62.768567534420036</v>
      </c>
      <c r="T67" s="441"/>
      <c r="V67" s="208"/>
      <c r="W67" s="208"/>
      <c r="X67" s="208"/>
      <c r="Y67" s="208"/>
    </row>
    <row r="68" spans="1:25" ht="15" customHeight="1">
      <c r="A68" s="155" t="s">
        <v>94</v>
      </c>
      <c r="B68" s="159">
        <f>'DATA MetaMetaverse'!F116*'DATA MetaMetaverse'!F96/1000</f>
        <v>36.275436731013684</v>
      </c>
      <c r="C68" s="160">
        <f>'DATA MetaMetaverse'!G116*'DATA MetaMetaverse'!G96/1000</f>
        <v>37.72645420025424</v>
      </c>
      <c r="D68" s="160">
        <f>'DATA MetaMetaverse'!H116*'DATA MetaMetaverse'!H96/1000</f>
        <v>39.2355123682644</v>
      </c>
      <c r="E68" s="160">
        <f>'DATA MetaMetaverse'!I116*'DATA MetaMetaverse'!I96/1000</f>
        <v>40.80493286299498</v>
      </c>
      <c r="F68" s="160">
        <f>'DATA MetaMetaverse'!J116*'DATA MetaMetaverse'!J96/1000</f>
        <v>42.43713017751479</v>
      </c>
      <c r="G68" s="160">
        <f>'DATA MetaMetaverse'!K116*'DATA MetaMetaverse'!K96/1000</f>
        <v>44.13461538461538</v>
      </c>
      <c r="H68" s="160">
        <f>'DATA MetaMetaverse'!L116*'DATA MetaMetaverse'!L96/1000</f>
        <v>45.9</v>
      </c>
      <c r="I68" s="160">
        <f>'DATA MetaMetaverse'!M116*'DATA MetaMetaverse'!M96/1000</f>
        <v>46.9557</v>
      </c>
      <c r="J68" s="160">
        <f>'DATA MetaMetaverse'!N116*'DATA MetaMetaverse'!N96/1000</f>
        <v>48.03568109999999</v>
      </c>
      <c r="K68" s="160">
        <f>'DATA MetaMetaverse'!O116*'DATA MetaMetaverse'!O96/1000</f>
        <v>49.14050176529999</v>
      </c>
      <c r="L68" s="161">
        <f>'DATA MetaMetaverse'!P116*'DATA MetaMetaverse'!P96/1000</f>
        <v>50.27073330590188</v>
      </c>
      <c r="M68" s="159">
        <f>'DATA MetaMetaverse'!Q116*'DATA MetaMetaverse'!Q96/1000</f>
        <v>51.42696017193762</v>
      </c>
      <c r="N68" s="161">
        <f>'DATA MetaMetaverse'!R116*'DATA MetaMetaverse'!R96/1000</f>
        <v>52.60978025589218</v>
      </c>
      <c r="O68" s="159">
        <f>'DATA MetaMetaverse'!S116*'DATA MetaMetaverse'!S96/1000</f>
        <v>53.81980520177769</v>
      </c>
      <c r="P68" s="160">
        <f>'DATA MetaMetaverse'!T116*'DATA MetaMetaverse'!T96/1000</f>
        <v>55.05766072141857</v>
      </c>
      <c r="Q68" s="160">
        <f>'DATA MetaMetaverse'!U116*'DATA MetaMetaverse'!U96/1000</f>
        <v>56.3239869180112</v>
      </c>
      <c r="R68" s="160">
        <f>'DATA MetaMetaverse'!V116*'DATA MetaMetaverse'!V96/1000</f>
        <v>57.619438617125454</v>
      </c>
      <c r="S68" s="161">
        <f>'DATA MetaMetaverse'!W116*'DATA MetaMetaverse'!W96/1000</f>
        <v>58.94468570531933</v>
      </c>
      <c r="T68" s="441"/>
      <c r="V68" s="208"/>
      <c r="W68" s="208"/>
      <c r="X68" s="208"/>
      <c r="Y68" s="208"/>
    </row>
    <row r="69" spans="1:25" ht="15" customHeight="1">
      <c r="A69" s="155" t="s">
        <v>96</v>
      </c>
      <c r="B69" s="159">
        <f>'DATA MetaMetaverse'!F117*'DATA MetaMetaverse'!F97/1000</f>
        <v>2.5360462675237647</v>
      </c>
      <c r="C69" s="160">
        <f>'DATA MetaMetaverse'!G117*'DATA MetaMetaverse'!G97/1000</f>
        <v>2.5867671928742397</v>
      </c>
      <c r="D69" s="160">
        <f>'DATA MetaMetaverse'!H117*'DATA MetaMetaverse'!H97/1000</f>
        <v>2.6385025367317243</v>
      </c>
      <c r="E69" s="160">
        <f>'DATA MetaMetaverse'!I117*'DATA MetaMetaverse'!I97/1000</f>
        <v>2.691272587466359</v>
      </c>
      <c r="F69" s="160">
        <f>'DATA MetaMetaverse'!J117*'DATA MetaMetaverse'!J97/1000</f>
        <v>2.7450980392156863</v>
      </c>
      <c r="G69" s="160">
        <f>'DATA MetaMetaverse'!K117*'DATA MetaMetaverse'!K97/1000</f>
        <v>2.8</v>
      </c>
      <c r="H69" s="160">
        <f>'DATA MetaMetaverse'!L117*'DATA MetaMetaverse'!L97/1000</f>
        <v>2.856</v>
      </c>
      <c r="I69" s="160">
        <f>'DATA MetaMetaverse'!M117*'DATA MetaMetaverse'!M97/1000</f>
        <v>2.9131199999999997</v>
      </c>
      <c r="J69" s="160">
        <f>'DATA MetaMetaverse'!N117*'DATA MetaMetaverse'!N97/1000</f>
        <v>2.9713824</v>
      </c>
      <c r="K69" s="160">
        <f>'DATA MetaMetaverse'!O117*'DATA MetaMetaverse'!O97/1000</f>
        <v>3.0308100479999998</v>
      </c>
      <c r="L69" s="161">
        <f>'DATA MetaMetaverse'!P117*'DATA MetaMetaverse'!P97/1000</f>
        <v>3.09142624896</v>
      </c>
      <c r="M69" s="159">
        <f>'DATA MetaMetaverse'!Q117*'DATA MetaMetaverse'!Q97/1000</f>
        <v>3.1532547739392003</v>
      </c>
      <c r="N69" s="161">
        <f>'DATA MetaMetaverse'!R117*'DATA MetaMetaverse'!R97/1000</f>
        <v>3.216319869417984</v>
      </c>
      <c r="O69" s="159">
        <f>'DATA MetaMetaverse'!S117*'DATA MetaMetaverse'!S97/1000</f>
        <v>3.280646266806344</v>
      </c>
      <c r="P69" s="160">
        <f>'DATA MetaMetaverse'!T117*'DATA MetaMetaverse'!T97/1000</f>
        <v>3.346259192142471</v>
      </c>
      <c r="Q69" s="160">
        <f>'DATA MetaMetaverse'!U117*'DATA MetaMetaverse'!U97/1000</f>
        <v>3.4131843759853204</v>
      </c>
      <c r="R69" s="160">
        <f>'DATA MetaMetaverse'!V117*'DATA MetaMetaverse'!V97/1000</f>
        <v>3.481448063505027</v>
      </c>
      <c r="S69" s="161">
        <f>'DATA MetaMetaverse'!W117*'DATA MetaMetaverse'!W97/1000</f>
        <v>3.5510770247751275</v>
      </c>
      <c r="T69" s="441"/>
      <c r="V69" s="208"/>
      <c r="W69" s="208"/>
      <c r="X69" s="208"/>
      <c r="Y69" s="208"/>
    </row>
    <row r="70" spans="1:25" ht="15" customHeight="1">
      <c r="A70" s="155" t="s">
        <v>5</v>
      </c>
      <c r="B70" s="159">
        <f>'DATA MetaMetaverse'!F118*'DATA MetaMetaverse'!F98/1000</f>
        <v>0.011061728395061728</v>
      </c>
      <c r="C70" s="160">
        <f>'DATA MetaMetaverse'!G118*'DATA MetaMetaverse'!G98/1000</f>
        <v>0.016592592592592593</v>
      </c>
      <c r="D70" s="160">
        <f>'DATA MetaMetaverse'!H118*'DATA MetaMetaverse'!H98/1000</f>
        <v>0.02488888888888889</v>
      </c>
      <c r="E70" s="160">
        <f>'DATA MetaMetaverse'!I118*'DATA MetaMetaverse'!I98/1000</f>
        <v>0.037333333333333336</v>
      </c>
      <c r="F70" s="160">
        <f>'DATA MetaMetaverse'!J118*'DATA MetaMetaverse'!J98/1000</f>
        <v>0.056</v>
      </c>
      <c r="G70" s="160">
        <f>'DATA MetaMetaverse'!K118*'DATA MetaMetaverse'!K98/1000</f>
        <v>0.084</v>
      </c>
      <c r="H70" s="160">
        <f>'DATA MetaMetaverse'!L118*'DATA MetaMetaverse'!L98/1000</f>
        <v>0.126</v>
      </c>
      <c r="I70" s="160">
        <f>'DATA MetaMetaverse'!M118*'DATA MetaMetaverse'!M98/1000</f>
        <v>0.17992799999999998</v>
      </c>
      <c r="J70" s="160">
        <f>'DATA MetaMetaverse'!N118*'DATA MetaMetaverse'!N98/1000</f>
        <v>0.25693718399999993</v>
      </c>
      <c r="K70" s="160">
        <f>'DATA MetaMetaverse'!O118*'DATA MetaMetaverse'!O98/1000</f>
        <v>0.36690629875199987</v>
      </c>
      <c r="L70" s="161">
        <f>'DATA MetaMetaverse'!P118*'DATA MetaMetaverse'!P98/1000</f>
        <v>0.5239421946178558</v>
      </c>
      <c r="M70" s="159">
        <f>'DATA MetaMetaverse'!Q118*'DATA MetaMetaverse'!Q98/1000</f>
        <v>0.7379326033800439</v>
      </c>
      <c r="N70" s="161">
        <f>'DATA MetaMetaverse'!R118*'DATA MetaMetaverse'!R98/1000</f>
        <v>1.0393217662654939</v>
      </c>
      <c r="O70" s="159">
        <f>'DATA MetaMetaverse'!S118*'DATA MetaMetaverse'!S98/1000</f>
        <v>1.4638054056501901</v>
      </c>
      <c r="P70" s="160">
        <f>'DATA MetaMetaverse'!T118*'DATA MetaMetaverse'!T98/1000</f>
        <v>2.0616582228523828</v>
      </c>
      <c r="Q70" s="160">
        <f>'DATA MetaMetaverse'!U118*'DATA MetaMetaverse'!U98/1000</f>
        <v>2.903688298627983</v>
      </c>
      <c r="R70" s="160">
        <f>'DATA MetaMetaverse'!V118*'DATA MetaMetaverse'!V98/1000</f>
        <v>4.089623411936776</v>
      </c>
      <c r="S70" s="161">
        <f>'DATA MetaMetaverse'!W118*'DATA MetaMetaverse'!W98/1000</f>
        <v>5.759922530033306</v>
      </c>
      <c r="T70" s="441"/>
      <c r="V70" s="208"/>
      <c r="W70" s="208"/>
      <c r="X70" s="208"/>
      <c r="Y70" s="208"/>
    </row>
    <row r="71" spans="1:25" ht="15" customHeight="1">
      <c r="A71" s="155" t="s">
        <v>33</v>
      </c>
      <c r="B71" s="159">
        <f>'DATA MetaMetaverse'!F119*'DATA MetaMetaverse'!F99/1000</f>
        <v>0.2690797285117256</v>
      </c>
      <c r="C71" s="160">
        <f>'DATA MetaMetaverse'!G119*'DATA MetaMetaverse'!G99/1000</f>
        <v>0.4843435113211062</v>
      </c>
      <c r="D71" s="160">
        <f>'DATA MetaMetaverse'!H119*'DATA MetaMetaverse'!H99/1000</f>
        <v>0.8718183203779911</v>
      </c>
      <c r="E71" s="160">
        <f>'DATA MetaMetaverse'!I119*'DATA MetaMetaverse'!I99/1000</f>
        <v>1.5692729766803841</v>
      </c>
      <c r="F71" s="160">
        <f>'DATA MetaMetaverse'!J119*'DATA MetaMetaverse'!J99/1000</f>
        <v>2.8246913580246913</v>
      </c>
      <c r="G71" s="160">
        <f>'DATA MetaMetaverse'!K119*'DATA MetaMetaverse'!K99/1000</f>
        <v>5.084444444444444</v>
      </c>
      <c r="H71" s="160">
        <f>'DATA MetaMetaverse'!L119*'DATA MetaMetaverse'!L99/1000</f>
        <v>9.152</v>
      </c>
      <c r="I71" s="160">
        <f>'DATA MetaMetaverse'!M119*'DATA MetaMetaverse'!M99/1000</f>
        <v>14.00256</v>
      </c>
      <c r="J71" s="160">
        <f>'DATA MetaMetaverse'!N119*'DATA MetaMetaverse'!N99/1000</f>
        <v>21.423916800000004</v>
      </c>
      <c r="K71" s="160">
        <f>'DATA MetaMetaverse'!O119*'DATA MetaMetaverse'!O99/1000</f>
        <v>32.778592704000005</v>
      </c>
      <c r="L71" s="161">
        <f>'DATA MetaMetaverse'!P119*'DATA MetaMetaverse'!P99/1000</f>
        <v>50.15124683712</v>
      </c>
      <c r="M71" s="159">
        <f>'DATA MetaMetaverse'!Q119*'DATA MetaMetaverse'!Q99/1000</f>
        <v>71.61598048340736</v>
      </c>
      <c r="N71" s="161">
        <f>'DATA MetaMetaverse'!R119*'DATA MetaMetaverse'!R99/1000</f>
        <v>102.2676201303057</v>
      </c>
      <c r="O71" s="159">
        <f>'DATA MetaMetaverse'!S119*'DATA MetaMetaverse'!S99/1000</f>
        <v>125.17556703949417</v>
      </c>
      <c r="P71" s="160">
        <f>'DATA MetaMetaverse'!T119*'DATA MetaMetaverse'!T99/1000</f>
        <v>153.21489405634085</v>
      </c>
      <c r="Q71" s="160">
        <f>'DATA MetaMetaverse'!U119*'DATA MetaMetaverse'!U99/1000</f>
        <v>187.5350303249612</v>
      </c>
      <c r="R71" s="160">
        <f>'DATA MetaMetaverse'!V119*'DATA MetaMetaverse'!V99/1000</f>
        <v>229.5428771177525</v>
      </c>
      <c r="S71" s="161">
        <f>'DATA MetaMetaverse'!W119*'DATA MetaMetaverse'!W99/1000</f>
        <v>280.96048159212904</v>
      </c>
      <c r="T71" s="441"/>
      <c r="V71" s="208"/>
      <c r="W71" s="208"/>
      <c r="X71" s="208"/>
      <c r="Y71" s="208"/>
    </row>
    <row r="72" spans="1:25" ht="15" customHeight="1">
      <c r="A72" s="155" t="s">
        <v>101</v>
      </c>
      <c r="B72" s="159">
        <f>'DATA MetaMetaverse'!F120*'DATA MetaMetaverse'!F100/1000</f>
        <v>26.925291174243004</v>
      </c>
      <c r="C72" s="160">
        <f>'DATA MetaMetaverse'!G120*'DATA MetaMetaverse'!G100/1000</f>
        <v>33.27965989136435</v>
      </c>
      <c r="D72" s="160">
        <f>'DATA MetaMetaverse'!H120*'DATA MetaMetaverse'!H100/1000</f>
        <v>41.133659625726345</v>
      </c>
      <c r="E72" s="160">
        <f>'DATA MetaMetaverse'!I120*'DATA MetaMetaverse'!I100/1000</f>
        <v>50.841203297397755</v>
      </c>
      <c r="F72" s="160">
        <f>'DATA MetaMetaverse'!J120*'DATA MetaMetaverse'!J100/1000</f>
        <v>62.83972727558363</v>
      </c>
      <c r="G72" s="160">
        <f>'DATA MetaMetaverse'!K120*'DATA MetaMetaverse'!K100/1000</f>
        <v>77.66990291262135</v>
      </c>
      <c r="H72" s="160">
        <f>'DATA MetaMetaverse'!L120*'DATA MetaMetaverse'!L100/1000</f>
        <v>96</v>
      </c>
      <c r="I72" s="160">
        <f>'DATA MetaMetaverse'!M120*'DATA MetaMetaverse'!M100/1000</f>
        <v>113.71199999999999</v>
      </c>
      <c r="J72" s="160">
        <f>'DATA MetaMetaverse'!N120*'DATA MetaMetaverse'!N100/1000</f>
        <v>134.691864</v>
      </c>
      <c r="K72" s="160">
        <f>'DATA MetaMetaverse'!O120*'DATA MetaMetaverse'!O100/1000</f>
        <v>159.54251290799996</v>
      </c>
      <c r="L72" s="161">
        <f>'DATA MetaMetaverse'!P120*'DATA MetaMetaverse'!P100/1000</f>
        <v>188.97810653952598</v>
      </c>
      <c r="M72" s="159">
        <f>'DATA MetaMetaverse'!Q120*'DATA MetaMetaverse'!Q100/1000</f>
        <v>223.84456719606854</v>
      </c>
      <c r="N72" s="161">
        <f>'DATA MetaMetaverse'!R120*'DATA MetaMetaverse'!R100/1000</f>
        <v>265.1438898437432</v>
      </c>
      <c r="O72" s="159">
        <f>'DATA MetaMetaverse'!S120*'DATA MetaMetaverse'!S100/1000</f>
        <v>314.06293751991376</v>
      </c>
      <c r="P72" s="160">
        <f>'DATA MetaMetaverse'!T120*'DATA MetaMetaverse'!T100/1000</f>
        <v>372.0075494923378</v>
      </c>
      <c r="Q72" s="160">
        <f>'DATA MetaMetaverse'!U120*'DATA MetaMetaverse'!U100/1000</f>
        <v>440.6429423736741</v>
      </c>
      <c r="R72" s="160">
        <f>'DATA MetaMetaverse'!V120*'DATA MetaMetaverse'!V100/1000</f>
        <v>521.941565241617</v>
      </c>
      <c r="S72" s="161">
        <f>'DATA MetaMetaverse'!W120*'DATA MetaMetaverse'!W100/1000</f>
        <v>618.2397840286952</v>
      </c>
      <c r="T72" s="441"/>
      <c r="V72" s="208"/>
      <c r="W72" s="208"/>
      <c r="X72" s="208"/>
      <c r="Y72" s="208"/>
    </row>
    <row r="73" spans="1:25" ht="15" customHeight="1">
      <c r="A73" s="155" t="s">
        <v>16</v>
      </c>
      <c r="B73" s="159">
        <f>'DATA MetaMetaverse'!F121*'DATA MetaMetaverse'!F101/1000</f>
        <v>10.680749914905551</v>
      </c>
      <c r="C73" s="160">
        <f>'DATA MetaMetaverse'!G121*'DATA MetaMetaverse'!G101/1000</f>
        <v>11.748824906396107</v>
      </c>
      <c r="D73" s="160">
        <f>'DATA MetaMetaverse'!H121*'DATA MetaMetaverse'!H101/1000</f>
        <v>12.92370739703572</v>
      </c>
      <c r="E73" s="160">
        <f>'DATA MetaMetaverse'!I121*'DATA MetaMetaverse'!I101/1000</f>
        <v>14.216078136739291</v>
      </c>
      <c r="F73" s="160">
        <f>'DATA MetaMetaverse'!J121*'DATA MetaMetaverse'!J101/1000</f>
        <v>15.637685950413221</v>
      </c>
      <c r="G73" s="160">
        <f>'DATA MetaMetaverse'!K121*'DATA MetaMetaverse'!K101/1000</f>
        <v>17.201454545454546</v>
      </c>
      <c r="H73" s="160">
        <f>'DATA MetaMetaverse'!L121*'DATA MetaMetaverse'!L101/1000</f>
        <v>18.9216</v>
      </c>
      <c r="I73" s="160">
        <f>'DATA MetaMetaverse'!M121*'DATA MetaMetaverse'!M101/1000</f>
        <v>22.705920000000003</v>
      </c>
      <c r="J73" s="160">
        <f>'DATA MetaMetaverse'!N121*'DATA MetaMetaverse'!N101/1000</f>
        <v>27.247104</v>
      </c>
      <c r="K73" s="160">
        <f>'DATA MetaMetaverse'!O121*'DATA MetaMetaverse'!O101/1000</f>
        <v>32.6965248</v>
      </c>
      <c r="L73" s="161">
        <f>'DATA MetaMetaverse'!P121*'DATA MetaMetaverse'!P101/1000</f>
        <v>39.235829759999994</v>
      </c>
      <c r="M73" s="159">
        <f>'DATA MetaMetaverse'!Q121*'DATA MetaMetaverse'!Q101/1000</f>
        <v>50.025682944</v>
      </c>
      <c r="N73" s="161">
        <f>'DATA MetaMetaverse'!R121*'DATA MetaMetaverse'!R101/1000</f>
        <v>63.78274575359999</v>
      </c>
      <c r="O73" s="159">
        <f>'DATA MetaMetaverse'!S121*'DATA MetaMetaverse'!S101/1000</f>
        <v>86.23427225886721</v>
      </c>
      <c r="P73" s="160">
        <f>'DATA MetaMetaverse'!T121*'DATA MetaMetaverse'!T101/1000</f>
        <v>116.58873609398847</v>
      </c>
      <c r="Q73" s="160">
        <f>'DATA MetaMetaverse'!U121*'DATA MetaMetaverse'!U101/1000</f>
        <v>157.6279711990724</v>
      </c>
      <c r="R73" s="160">
        <f>'DATA MetaMetaverse'!V121*'DATA MetaMetaverse'!V101/1000</f>
        <v>213.1130170611459</v>
      </c>
      <c r="S73" s="161">
        <f>'DATA MetaMetaverse'!W121*'DATA MetaMetaverse'!W101/1000</f>
        <v>288.1287990666693</v>
      </c>
      <c r="T73" s="441"/>
      <c r="V73" s="208"/>
      <c r="W73" s="208"/>
      <c r="X73" s="208"/>
      <c r="Y73" s="208"/>
    </row>
    <row r="74" spans="1:25" ht="15" customHeight="1">
      <c r="A74" s="151" t="s">
        <v>328</v>
      </c>
      <c r="B74" s="368">
        <f>SUM(B57:B73)</f>
        <v>968.5805814938881</v>
      </c>
      <c r="C74" s="366">
        <f>SUM(C57:C73)</f>
        <v>986.0228772492006</v>
      </c>
      <c r="D74" s="366">
        <f>SUM(D57:D73)</f>
        <v>1007.820057880764</v>
      </c>
      <c r="E74" s="366">
        <f>SUM(E57:E73)</f>
        <v>1034.852713967025</v>
      </c>
      <c r="F74" s="366">
        <f>SUM(F57:F73)</f>
        <v>1068.2900531365021</v>
      </c>
      <c r="G74" s="366">
        <f aca="true" t="shared" si="11" ref="G74:H74">SUM(G57:G73)</f>
        <v>1109.7189560075742</v>
      </c>
      <c r="H74" s="367">
        <f t="shared" si="11"/>
        <v>1161.3536</v>
      </c>
      <c r="I74" s="366">
        <f>SUM(I57:I73)</f>
        <v>1233.0597222499998</v>
      </c>
      <c r="J74" s="366">
        <f aca="true" t="shared" si="12" ref="J74:K74">SUM(J57:J73)</f>
        <v>1305.6494592425374</v>
      </c>
      <c r="K74" s="366">
        <f t="shared" si="12"/>
        <v>1391.7748660896311</v>
      </c>
      <c r="L74" s="369">
        <f>SUM(L57:L73)</f>
        <v>1492.9651577509464</v>
      </c>
      <c r="M74" s="368">
        <f>SUM(M57:M73)</f>
        <v>1618.7651179814873</v>
      </c>
      <c r="N74" s="369">
        <f>SUM(N57:N73)</f>
        <v>1769.2472430359724</v>
      </c>
      <c r="O74" s="368">
        <f aca="true" t="shared" si="13" ref="O74:S74">SUM(O57:O73)</f>
        <v>1934.2122222068408</v>
      </c>
      <c r="P74" s="366">
        <f t="shared" si="13"/>
        <v>2128.9012023021796</v>
      </c>
      <c r="Q74" s="366">
        <f t="shared" si="13"/>
        <v>2360.0214654259335</v>
      </c>
      <c r="R74" s="366">
        <f t="shared" si="13"/>
        <v>2636.0193563203466</v>
      </c>
      <c r="S74" s="369">
        <f t="shared" si="13"/>
        <v>2967.5790275074964</v>
      </c>
      <c r="T74" s="441"/>
      <c r="V74" s="208"/>
      <c r="W74" s="208"/>
      <c r="X74" s="208"/>
      <c r="Y74" s="208"/>
    </row>
    <row r="75" spans="1:20" ht="15" customHeight="1">
      <c r="A75" s="374"/>
      <c r="B75" s="375"/>
      <c r="C75" s="375"/>
      <c r="D75" s="375"/>
      <c r="E75" s="375"/>
      <c r="F75" s="375"/>
      <c r="G75" s="375"/>
      <c r="H75" s="376"/>
      <c r="I75" s="375"/>
      <c r="J75" s="375"/>
      <c r="K75" s="375"/>
      <c r="L75" s="375"/>
      <c r="M75" s="375"/>
      <c r="N75" s="375"/>
      <c r="O75" s="371"/>
      <c r="P75" s="371"/>
      <c r="Q75" s="385"/>
      <c r="R75" s="371"/>
      <c r="T75" s="208"/>
    </row>
    <row r="76" spans="1:18" ht="15" customHeight="1">
      <c r="A76" s="374"/>
      <c r="B76" s="375"/>
      <c r="C76" s="375"/>
      <c r="D76" s="375"/>
      <c r="E76" s="375"/>
      <c r="F76" s="375"/>
      <c r="G76" s="375"/>
      <c r="H76" s="376"/>
      <c r="I76" s="375"/>
      <c r="J76" s="375"/>
      <c r="K76" s="375"/>
      <c r="L76" s="375"/>
      <c r="M76" s="375"/>
      <c r="N76" s="375"/>
      <c r="O76" s="371"/>
      <c r="P76" s="371"/>
      <c r="Q76" s="385"/>
      <c r="R76" s="371"/>
    </row>
    <row r="77" spans="1:19" ht="30" customHeight="1">
      <c r="A77" s="151" t="s">
        <v>156</v>
      </c>
      <c r="B77" s="153">
        <v>2013</v>
      </c>
      <c r="C77" s="152">
        <v>2014</v>
      </c>
      <c r="D77" s="152">
        <v>2015</v>
      </c>
      <c r="E77" s="152">
        <v>2016</v>
      </c>
      <c r="F77" s="152">
        <v>2017</v>
      </c>
      <c r="G77" s="152">
        <v>2018</v>
      </c>
      <c r="H77" s="386">
        <v>2019</v>
      </c>
      <c r="I77" s="152">
        <v>2020</v>
      </c>
      <c r="J77" s="152">
        <v>2021</v>
      </c>
      <c r="K77" s="152">
        <v>2022</v>
      </c>
      <c r="L77" s="154">
        <v>2023</v>
      </c>
      <c r="M77" s="153">
        <v>2024</v>
      </c>
      <c r="N77" s="154">
        <v>2025</v>
      </c>
      <c r="O77" s="153">
        <v>2026</v>
      </c>
      <c r="P77" s="152">
        <v>2027</v>
      </c>
      <c r="Q77" s="152">
        <v>2028</v>
      </c>
      <c r="R77" s="152">
        <v>2029</v>
      </c>
      <c r="S77" s="154">
        <v>2030</v>
      </c>
    </row>
    <row r="78" spans="1:19" ht="15" customHeight="1">
      <c r="A78" s="155" t="s">
        <v>158</v>
      </c>
      <c r="B78" s="159">
        <f>'DATA MetaMetaverse'!F129</f>
        <v>342.72</v>
      </c>
      <c r="C78" s="160">
        <f>'DATA MetaMetaverse'!G129</f>
        <v>388.8</v>
      </c>
      <c r="D78" s="160">
        <f>'DATA MetaMetaverse'!H129</f>
        <v>506.48275862068965</v>
      </c>
      <c r="E78" s="160">
        <f>'DATA MetaMetaverse'!I129</f>
        <v>587.52</v>
      </c>
      <c r="F78" s="160">
        <f>'DATA MetaMetaverse'!J129</f>
        <v>702</v>
      </c>
      <c r="G78" s="160">
        <f>'DATA MetaMetaverse'!K129</f>
        <v>807.3</v>
      </c>
      <c r="H78" s="160">
        <f>'DATA MetaMetaverse'!L129</f>
        <v>928.3949999999999</v>
      </c>
      <c r="I78" s="160">
        <f>'DATA MetaMetaverse'!M129</f>
        <v>1067.6542499999998</v>
      </c>
      <c r="J78" s="160">
        <f>'DATA MetaMetaverse'!N129</f>
        <v>1227.8023874999997</v>
      </c>
      <c r="K78" s="160">
        <f>'DATA MetaMetaverse'!O129</f>
        <v>1411.9727456249996</v>
      </c>
      <c r="L78" s="161">
        <f>'DATA MetaMetaverse'!P129</f>
        <v>1623.7686574687493</v>
      </c>
      <c r="M78" s="159">
        <f>'DATA MetaMetaverse'!Q129</f>
        <v>2099.010589345724</v>
      </c>
      <c r="N78" s="161">
        <f>'DATA MetaMetaverse'!R129</f>
        <v>2713.345545820327</v>
      </c>
      <c r="O78" s="159">
        <f>'DATA MetaMetaverse'!S129</f>
        <v>3507.4830438649055</v>
      </c>
      <c r="P78" s="160">
        <f>'DATA MetaMetaverse'!T129</f>
        <v>4534.047394719282</v>
      </c>
      <c r="Q78" s="160">
        <f>'DATA MetaMetaverse'!U129</f>
        <v>5861.064906220687</v>
      </c>
      <c r="R78" s="160">
        <f>'DATA MetaMetaverse'!V129</f>
        <v>7576.471713758642</v>
      </c>
      <c r="S78" s="161">
        <f>'DATA MetaMetaverse'!W129</f>
        <v>9793.940955756994</v>
      </c>
    </row>
    <row r="79" spans="1:19" ht="15" customHeight="1">
      <c r="A79" s="155" t="s">
        <v>161</v>
      </c>
      <c r="B79" s="159">
        <f>'DATA MetaMetaverse'!F130</f>
        <v>250.92</v>
      </c>
      <c r="C79" s="160">
        <f>'DATA MetaMetaverse'!G130</f>
        <v>302.4</v>
      </c>
      <c r="D79" s="160">
        <f>'DATA MetaMetaverse'!H130</f>
        <v>403.2</v>
      </c>
      <c r="E79" s="160">
        <f>'DATA MetaMetaverse'!I130</f>
        <v>483.84</v>
      </c>
      <c r="F79" s="160">
        <f>'DATA MetaMetaverse'!J130</f>
        <v>629</v>
      </c>
      <c r="G79" s="160">
        <f>'DATA MetaMetaverse'!K130</f>
        <v>823.99</v>
      </c>
      <c r="H79" s="160">
        <f>'DATA MetaMetaverse'!L130</f>
        <v>1079.4269000000002</v>
      </c>
      <c r="I79" s="160">
        <f>'DATA MetaMetaverse'!M130</f>
        <v>1414.0492390000002</v>
      </c>
      <c r="J79" s="160">
        <f>'DATA MetaMetaverse'!N130</f>
        <v>1852.4045030900004</v>
      </c>
      <c r="K79" s="160">
        <f>'DATA MetaMetaverse'!O130</f>
        <v>2426.649899047901</v>
      </c>
      <c r="L79" s="161">
        <f>'DATA MetaMetaverse'!P130</f>
        <v>3178.9113677527503</v>
      </c>
      <c r="M79" s="159">
        <f>'DATA MetaMetaverse'!Q130</f>
        <v>4304.2349652457415</v>
      </c>
      <c r="N79" s="161">
        <f>'DATA MetaMetaverse'!R130</f>
        <v>5827.919212840716</v>
      </c>
      <c r="O79" s="159">
        <f>'DATA MetaMetaverse'!S130</f>
        <v>7890.982398879984</v>
      </c>
      <c r="P79" s="160">
        <f>'DATA MetaMetaverse'!T130</f>
        <v>10684.36279662883</v>
      </c>
      <c r="Q79" s="160">
        <f>'DATA MetaMetaverse'!U130</f>
        <v>14466.590165780755</v>
      </c>
      <c r="R79" s="160">
        <f>'DATA MetaMetaverse'!V130</f>
        <v>19587.71290419846</v>
      </c>
      <c r="S79" s="161">
        <f>'DATA MetaMetaverse'!W130</f>
        <v>26521.695328374975</v>
      </c>
    </row>
    <row r="80" spans="1:19" ht="15" customHeight="1">
      <c r="A80" s="155" t="s">
        <v>163</v>
      </c>
      <c r="B80" s="159">
        <f>'DATA MetaMetaverse'!F131</f>
        <v>593.64</v>
      </c>
      <c r="C80" s="160">
        <f>'DATA MetaMetaverse'!G131</f>
        <v>691.2</v>
      </c>
      <c r="D80" s="160">
        <f>'DATA MetaMetaverse'!H131</f>
        <v>909.6827586206896</v>
      </c>
      <c r="E80" s="160">
        <f>'DATA MetaMetaverse'!I131</f>
        <v>1071.36</v>
      </c>
      <c r="F80" s="160">
        <f>'DATA MetaMetaverse'!J131</f>
        <v>1331</v>
      </c>
      <c r="G80" s="160">
        <f>'DATA MetaMetaverse'!K131</f>
        <v>1631.29</v>
      </c>
      <c r="H80" s="160">
        <f>'DATA MetaMetaverse'!L131</f>
        <v>2007.8219</v>
      </c>
      <c r="I80" s="160">
        <f>'DATA MetaMetaverse'!M131</f>
        <v>2481.703489</v>
      </c>
      <c r="J80" s="160">
        <f>'DATA MetaMetaverse'!N131</f>
        <v>3080.20689059</v>
      </c>
      <c r="K80" s="160">
        <f>'DATA MetaMetaverse'!O131</f>
        <v>3838.6226446729006</v>
      </c>
      <c r="L80" s="161">
        <f>'DATA MetaMetaverse'!P131</f>
        <v>4802.6800252215</v>
      </c>
      <c r="M80" s="159">
        <f>'DATA MetaMetaverse'!Q131</f>
        <v>6403.245554591465</v>
      </c>
      <c r="N80" s="161">
        <f>'DATA MetaMetaverse'!R131</f>
        <v>8541.264758661044</v>
      </c>
      <c r="O80" s="159">
        <f>'DATA MetaMetaverse'!S131</f>
        <v>11398.46544274489</v>
      </c>
      <c r="P80" s="160">
        <f>'DATA MetaMetaverse'!T131</f>
        <v>15218.410191348112</v>
      </c>
      <c r="Q80" s="160">
        <f>'DATA MetaMetaverse'!U131</f>
        <v>20327.655072001442</v>
      </c>
      <c r="R80" s="160">
        <f>'DATA MetaMetaverse'!V131</f>
        <v>27164.1846179571</v>
      </c>
      <c r="S80" s="161">
        <f>'DATA MetaMetaverse'!W131</f>
        <v>36315.63628413197</v>
      </c>
    </row>
    <row r="81" spans="1:19" ht="15" customHeight="1">
      <c r="A81" s="155" t="s">
        <v>165</v>
      </c>
      <c r="B81" s="159">
        <f>'DATA MetaMetaverse'!F132</f>
        <v>16</v>
      </c>
      <c r="C81" s="160">
        <f>'DATA MetaMetaverse'!G132</f>
        <v>28.799999999999955</v>
      </c>
      <c r="D81" s="160">
        <f>'DATA MetaMetaverse'!H132</f>
        <v>58.9041095890411</v>
      </c>
      <c r="E81" s="160">
        <f>'DATA MetaMetaverse'!I132</f>
        <v>86</v>
      </c>
      <c r="F81" s="160">
        <f>'DATA MetaMetaverse'!J132</f>
        <v>133</v>
      </c>
      <c r="G81" s="160">
        <f>'DATA MetaMetaverse'!K132</f>
        <v>228</v>
      </c>
      <c r="H81" s="160">
        <f>'DATA MetaMetaverse'!L132</f>
        <v>348</v>
      </c>
      <c r="I81" s="160">
        <f>'DATA MetaMetaverse'!M132</f>
        <v>494.15999999999997</v>
      </c>
      <c r="J81" s="160">
        <f>'DATA MetaMetaverse'!N132</f>
        <v>701.7072</v>
      </c>
      <c r="K81" s="160">
        <f>'DATA MetaMetaverse'!O132</f>
        <v>996.4242239999999</v>
      </c>
      <c r="L81" s="161">
        <f>'DATA MetaMetaverse'!P132</f>
        <v>1414.9223980799998</v>
      </c>
      <c r="M81" s="159">
        <f>'DATA MetaMetaverse'!Q132</f>
        <v>1938.4436853695997</v>
      </c>
      <c r="N81" s="161">
        <f>'DATA MetaMetaverse'!R132</f>
        <v>2655.667848956352</v>
      </c>
      <c r="O81" s="159">
        <f>'DATA MetaMetaverse'!S132</f>
        <v>3638.2649530702024</v>
      </c>
      <c r="P81" s="160">
        <f>'DATA MetaMetaverse'!T132</f>
        <v>4984.422985706177</v>
      </c>
      <c r="Q81" s="160">
        <f>'DATA MetaMetaverse'!U132</f>
        <v>6828.6594904174635</v>
      </c>
      <c r="R81" s="160">
        <f>'DATA MetaMetaverse'!V132</f>
        <v>9355.263501871927</v>
      </c>
      <c r="S81" s="161">
        <f>'DATA MetaMetaverse'!W132</f>
        <v>12816.71099756454</v>
      </c>
    </row>
    <row r="82" spans="1:25" s="143" customFormat="1" ht="15" customHeight="1">
      <c r="A82" s="197" t="s">
        <v>166</v>
      </c>
      <c r="B82" s="201">
        <f>'DATA MetaMetaverse'!F133</f>
        <v>609.64</v>
      </c>
      <c r="C82" s="202">
        <f>'DATA MetaMetaverse'!G133</f>
        <v>720</v>
      </c>
      <c r="D82" s="202">
        <f>'DATA MetaMetaverse'!H133</f>
        <v>968.5868682097307</v>
      </c>
      <c r="E82" s="202">
        <f>'DATA MetaMetaverse'!I133</f>
        <v>1157.36</v>
      </c>
      <c r="F82" s="202">
        <f>'DATA MetaMetaverse'!J133</f>
        <v>1464</v>
      </c>
      <c r="G82" s="202">
        <f>'DATA MetaMetaverse'!K133</f>
        <v>1859.29</v>
      </c>
      <c r="H82" s="202">
        <f>'DATA MetaMetaverse'!L133</f>
        <v>2355.8219</v>
      </c>
      <c r="I82" s="202">
        <f>'DATA MetaMetaverse'!M133</f>
        <v>2975.863489</v>
      </c>
      <c r="J82" s="202">
        <f>'DATA MetaMetaverse'!N133</f>
        <v>3781.91409059</v>
      </c>
      <c r="K82" s="202">
        <f>'DATA MetaMetaverse'!O133</f>
        <v>4835.0468686729</v>
      </c>
      <c r="L82" s="259">
        <f>'DATA MetaMetaverse'!P133</f>
        <v>6217.6024233015</v>
      </c>
      <c r="M82" s="201">
        <f>'DATA MetaMetaverse'!Q133</f>
        <v>8341.689239961066</v>
      </c>
      <c r="N82" s="259">
        <f>'DATA MetaMetaverse'!R133</f>
        <v>11196.932607617397</v>
      </c>
      <c r="O82" s="201">
        <f>'DATA MetaMetaverse'!S133</f>
        <v>15036.730395815091</v>
      </c>
      <c r="P82" s="202">
        <f>'DATA MetaMetaverse'!T133</f>
        <v>20202.83317705429</v>
      </c>
      <c r="Q82" s="202">
        <f>'DATA MetaMetaverse'!U133</f>
        <v>27156.314562418906</v>
      </c>
      <c r="R82" s="202">
        <f>'DATA MetaMetaverse'!V133</f>
        <v>36519.44811982903</v>
      </c>
      <c r="S82" s="259">
        <f>'DATA MetaMetaverse'!W133</f>
        <v>49132.34728169651</v>
      </c>
      <c r="T82" s="143"/>
      <c r="U82" s="143"/>
      <c r="V82" s="143"/>
      <c r="W82" s="143"/>
      <c r="X82" s="143"/>
      <c r="Y82" s="143"/>
    </row>
    <row r="83" spans="1:25" s="143" customFormat="1" ht="15" customHeight="1">
      <c r="A83" s="155" t="s">
        <v>167</v>
      </c>
      <c r="B83" s="159">
        <f>'DATA MetaMetaverse'!F134</f>
        <v>698.0325120000001</v>
      </c>
      <c r="C83" s="160">
        <f>'DATA MetaMetaverse'!G134</f>
        <v>1008.032</v>
      </c>
      <c r="D83" s="160">
        <f>'DATA MetaMetaverse'!H134</f>
        <v>1598.0000000000002</v>
      </c>
      <c r="E83" s="160">
        <f>'DATA MetaMetaverse'!I134</f>
        <v>2652</v>
      </c>
      <c r="F83" s="160">
        <f>'DATA MetaMetaverse'!J134</f>
        <v>3800.9790000000003</v>
      </c>
      <c r="G83" s="160">
        <f>'DATA MetaMetaverse'!K134</f>
        <v>5189.213484</v>
      </c>
      <c r="H83" s="160">
        <f>'DATA MetaMetaverse'!L134</f>
        <v>6755.416529588999</v>
      </c>
      <c r="I83" s="160">
        <f>'DATA MetaMetaverse'!M134</f>
        <v>8782.041488465698</v>
      </c>
      <c r="J83" s="160">
        <f>'DATA MetaMetaverse'!N134</f>
        <v>11416.653935005408</v>
      </c>
      <c r="K83" s="160">
        <f>'DATA MetaMetaverse'!O134</f>
        <v>14841.650115507031</v>
      </c>
      <c r="L83" s="161">
        <f>'DATA MetaMetaverse'!P134</f>
        <v>19294.14515015914</v>
      </c>
      <c r="M83" s="159">
        <f>'DATA MetaMetaverse'!Q134</f>
        <v>25082.388695206882</v>
      </c>
      <c r="N83" s="161">
        <f>'DATA MetaMetaverse'!R134</f>
        <v>32607.10530376895</v>
      </c>
      <c r="O83" s="159">
        <f>'DATA MetaMetaverse'!S134</f>
        <v>42389.23689489964</v>
      </c>
      <c r="P83" s="160">
        <f>'DATA MetaMetaverse'!T134</f>
        <v>55106.00796336953</v>
      </c>
      <c r="Q83" s="160">
        <f>'DATA MetaMetaverse'!U134</f>
        <v>71637.81035238039</v>
      </c>
      <c r="R83" s="160">
        <f>'DATA MetaMetaverse'!V134</f>
        <v>93129.1534580945</v>
      </c>
      <c r="S83" s="161">
        <f>'DATA MetaMetaverse'!W134</f>
        <v>121067.89949552286</v>
      </c>
      <c r="T83" s="143"/>
      <c r="U83" s="143"/>
      <c r="V83" s="143"/>
      <c r="W83" s="143"/>
      <c r="X83" s="143"/>
      <c r="Y83" s="143"/>
    </row>
    <row r="84" spans="1:25" s="143" customFormat="1" ht="15" customHeight="1">
      <c r="A84" s="155" t="s">
        <v>168</v>
      </c>
      <c r="B84" s="159">
        <f>'DATA MetaMetaverse'!F135</f>
        <v>2001.9674879999998</v>
      </c>
      <c r="C84" s="160">
        <f>'DATA MetaMetaverse'!G135</f>
        <v>2391.968</v>
      </c>
      <c r="D84" s="160">
        <f>'DATA MetaMetaverse'!H135</f>
        <v>3102</v>
      </c>
      <c r="E84" s="160">
        <f>'DATA MetaMetaverse'!I135</f>
        <v>4148</v>
      </c>
      <c r="F84" s="160">
        <f>'DATA MetaMetaverse'!J135</f>
        <v>5299.021</v>
      </c>
      <c r="G84" s="160">
        <f>'DATA MetaMetaverse'!K135</f>
        <v>6410.786516</v>
      </c>
      <c r="H84" s="160">
        <f>'DATA MetaMetaverse'!L135</f>
        <v>7344.583470411001</v>
      </c>
      <c r="I84" s="160">
        <f>'DATA MetaMetaverse'!M135</f>
        <v>8299.379321564431</v>
      </c>
      <c r="J84" s="160">
        <f>'DATA MetaMetaverse'!N135</f>
        <v>9378.298633367805</v>
      </c>
      <c r="K84" s="160">
        <f>'DATA MetaMetaverse'!O135</f>
        <v>10597.477455705619</v>
      </c>
      <c r="L84" s="161">
        <f>'DATA MetaMetaverse'!P135</f>
        <v>11975.149524947348</v>
      </c>
      <c r="M84" s="159">
        <f>'DATA MetaMetaverse'!Q135</f>
        <v>14968.936906184186</v>
      </c>
      <c r="N84" s="161">
        <f>'DATA MetaMetaverse'!R135</f>
        <v>18711.171132730233</v>
      </c>
      <c r="O84" s="159">
        <f>'DATA MetaMetaverse'!S135</f>
        <v>23388.96391591279</v>
      </c>
      <c r="P84" s="160">
        <f>'DATA MetaMetaverse'!T135</f>
        <v>29236.204894890987</v>
      </c>
      <c r="Q84" s="160">
        <f>'DATA MetaMetaverse'!U135</f>
        <v>36545.25611861373</v>
      </c>
      <c r="R84" s="160">
        <f>'DATA MetaMetaverse'!V135</f>
        <v>45681.570148267165</v>
      </c>
      <c r="S84" s="161">
        <f>'DATA MetaMetaverse'!W135</f>
        <v>57101.96268533396</v>
      </c>
      <c r="T84" s="143"/>
      <c r="U84" s="143"/>
      <c r="V84" s="143"/>
      <c r="W84" s="143"/>
      <c r="X84" s="143"/>
      <c r="Y84" s="143"/>
    </row>
    <row r="85" spans="1:25" s="143" customFormat="1" ht="15" customHeight="1">
      <c r="A85" s="197" t="s">
        <v>169</v>
      </c>
      <c r="B85" s="201">
        <f>'DATA MetaMetaverse'!F136</f>
        <v>2700</v>
      </c>
      <c r="C85" s="202">
        <f>'DATA MetaMetaverse'!G136</f>
        <v>3400</v>
      </c>
      <c r="D85" s="202">
        <f>'DATA MetaMetaverse'!H136</f>
        <v>4700</v>
      </c>
      <c r="E85" s="202">
        <f>'DATA MetaMetaverse'!I136</f>
        <v>6800</v>
      </c>
      <c r="F85" s="202">
        <f>'DATA MetaMetaverse'!J136</f>
        <v>9100</v>
      </c>
      <c r="G85" s="202">
        <f>'DATA MetaMetaverse'!K136</f>
        <v>11600</v>
      </c>
      <c r="H85" s="202">
        <f>'DATA MetaMetaverse'!L136</f>
        <v>14100</v>
      </c>
      <c r="I85" s="202">
        <f>'DATA MetaMetaverse'!M136</f>
        <v>17081.42081003013</v>
      </c>
      <c r="J85" s="202">
        <f>'DATA MetaMetaverse'!N136</f>
        <v>20794.952568373214</v>
      </c>
      <c r="K85" s="202">
        <f>'DATA MetaMetaverse'!O136</f>
        <v>25439.12757121265</v>
      </c>
      <c r="L85" s="259">
        <f>'DATA MetaMetaverse'!P136</f>
        <v>31269.29467510649</v>
      </c>
      <c r="M85" s="201">
        <f>'DATA MetaMetaverse'!Q136</f>
        <v>40051.32560139107</v>
      </c>
      <c r="N85" s="259">
        <f>'DATA MetaMetaverse'!R136</f>
        <v>51318.27643649918</v>
      </c>
      <c r="O85" s="201">
        <f>'DATA MetaMetaverse'!S136</f>
        <v>65778.20081081243</v>
      </c>
      <c r="P85" s="202">
        <f>'DATA MetaMetaverse'!T136</f>
        <v>84342.21285826052</v>
      </c>
      <c r="Q85" s="202">
        <f>'DATA MetaMetaverse'!U136</f>
        <v>108183.06647099412</v>
      </c>
      <c r="R85" s="202">
        <f>'DATA MetaMetaverse'!V136</f>
        <v>138810.72360636166</v>
      </c>
      <c r="S85" s="259">
        <f>'DATA MetaMetaverse'!W136</f>
        <v>178169.8621808568</v>
      </c>
      <c r="T85" s="143"/>
      <c r="U85" s="143"/>
      <c r="V85" s="143"/>
      <c r="W85" s="143"/>
      <c r="X85" s="143"/>
      <c r="Y85" s="143"/>
    </row>
    <row r="86" spans="1:25" s="143" customFormat="1" ht="15" customHeight="1">
      <c r="A86" s="236"/>
      <c r="B86" s="238"/>
      <c r="C86" s="238"/>
      <c r="D86" s="238"/>
      <c r="E86" s="238"/>
      <c r="F86" s="238"/>
      <c r="G86" s="238"/>
      <c r="H86" s="387"/>
      <c r="I86" s="238"/>
      <c r="J86" s="238"/>
      <c r="K86" s="238"/>
      <c r="L86" s="238"/>
      <c r="M86" s="238"/>
      <c r="N86" s="238"/>
      <c r="T86" s="143"/>
      <c r="U86" s="143"/>
      <c r="V86" s="143"/>
      <c r="W86" s="143"/>
      <c r="X86" s="143"/>
      <c r="Y86" s="143"/>
    </row>
    <row r="87" spans="1:25" s="143" customFormat="1" ht="30" customHeight="1">
      <c r="A87" s="151" t="s">
        <v>331</v>
      </c>
      <c r="B87" s="153">
        <v>2013</v>
      </c>
      <c r="C87" s="152">
        <v>2014</v>
      </c>
      <c r="D87" s="152">
        <v>2015</v>
      </c>
      <c r="E87" s="152">
        <v>2016</v>
      </c>
      <c r="F87" s="152">
        <v>2017</v>
      </c>
      <c r="G87" s="152">
        <v>2018</v>
      </c>
      <c r="H87" s="386">
        <v>2019</v>
      </c>
      <c r="I87" s="152">
        <v>2020</v>
      </c>
      <c r="J87" s="152">
        <v>2021</v>
      </c>
      <c r="K87" s="152">
        <v>2022</v>
      </c>
      <c r="L87" s="152">
        <v>2023</v>
      </c>
      <c r="M87" s="153">
        <v>2024</v>
      </c>
      <c r="N87" s="154">
        <v>2025</v>
      </c>
      <c r="O87" s="152">
        <v>2026</v>
      </c>
      <c r="P87" s="152">
        <v>2027</v>
      </c>
      <c r="Q87" s="152">
        <v>2028</v>
      </c>
      <c r="R87" s="152">
        <v>2029</v>
      </c>
      <c r="S87" s="154">
        <v>2030</v>
      </c>
      <c r="T87" s="143"/>
      <c r="U87" s="143"/>
      <c r="V87" s="143"/>
      <c r="W87" s="143"/>
      <c r="X87" s="143"/>
      <c r="Y87" s="143"/>
    </row>
    <row r="88" spans="1:25" s="143" customFormat="1" ht="15" customHeight="1">
      <c r="A88" s="272" t="s">
        <v>158</v>
      </c>
      <c r="B88" s="162">
        <f>'DATA MetaMetaverse'!F140*B78</f>
        <v>134.79379753086425</v>
      </c>
      <c r="C88" s="163">
        <f>'DATA MetaMetaverse'!G140*C78</f>
        <v>114.68800000000003</v>
      </c>
      <c r="D88" s="163">
        <f>'DATA MetaMetaverse'!H140*D78</f>
        <v>112.05149425287358</v>
      </c>
      <c r="E88" s="163">
        <f>'DATA MetaMetaverse'!I140*E78</f>
        <v>97.4848</v>
      </c>
      <c r="F88" s="163">
        <f>'DATA MetaMetaverse'!J140*F78</f>
        <v>87.36000000000001</v>
      </c>
      <c r="G88" s="163">
        <f>'DATA MetaMetaverse'!K140*G78</f>
        <v>75.348</v>
      </c>
      <c r="H88" s="163">
        <f>'DATA MetaMetaverse'!L140*H78</f>
        <v>64.98765</v>
      </c>
      <c r="I88" s="163">
        <f>'DATA MetaMetaverse'!M140*I78</f>
        <v>58.29392205</v>
      </c>
      <c r="J88" s="163">
        <f>'DATA MetaMetaverse'!N140*J78</f>
        <v>52.28964807884999</v>
      </c>
      <c r="K88" s="163">
        <f>'DATA MetaMetaverse'!O140*K78</f>
        <v>46.903814326728444</v>
      </c>
      <c r="L88" s="163">
        <f>'DATA MetaMetaverse'!P140*L78</f>
        <v>42.07272145107541</v>
      </c>
      <c r="M88" s="162">
        <f>'DATA MetaMetaverse'!Q140*M78</f>
        <v>42.42146700203685</v>
      </c>
      <c r="N88" s="164">
        <f>'DATA MetaMetaverse'!R140*N78</f>
        <v>42.773103344350034</v>
      </c>
      <c r="O88" s="163">
        <f>'DATA MetaMetaverse'!S140*O78</f>
        <v>46.445166320120336</v>
      </c>
      <c r="P88" s="163">
        <f>'DATA MetaMetaverse'!T140*P78</f>
        <v>50.43247522016851</v>
      </c>
      <c r="Q88" s="163">
        <f>'DATA MetaMetaverse'!U140*Q78</f>
        <v>54.76209384852778</v>
      </c>
      <c r="R88" s="163">
        <f>'DATA MetaMetaverse'!V140*R78</f>
        <v>59.4634094317797</v>
      </c>
      <c r="S88" s="164">
        <f>'DATA MetaMetaverse'!W140*S78</f>
        <v>64.56833208444833</v>
      </c>
      <c r="T88" s="143"/>
      <c r="U88" s="143"/>
      <c r="V88" s="143"/>
      <c r="W88" s="143"/>
      <c r="X88" s="143"/>
      <c r="Y88" s="143"/>
    </row>
    <row r="89" spans="1:25" s="143" customFormat="1" ht="15" customHeight="1">
      <c r="A89" s="155" t="s">
        <v>161</v>
      </c>
      <c r="B89" s="159">
        <f>'DATA MetaMetaverse'!F141*B79</f>
        <v>98.68831604938273</v>
      </c>
      <c r="C89" s="160">
        <f>'DATA MetaMetaverse'!G141*C79</f>
        <v>89.20177777777779</v>
      </c>
      <c r="D89" s="160">
        <f>'DATA MetaMetaverse'!H141*D79</f>
        <v>89.20177777777779</v>
      </c>
      <c r="E89" s="160">
        <f>'DATA MetaMetaverse'!I141*E79</f>
        <v>80.28160000000001</v>
      </c>
      <c r="F89" s="160">
        <f>'DATA MetaMetaverse'!J141*F79</f>
        <v>78.27555555555556</v>
      </c>
      <c r="G89" s="160">
        <f>'DATA MetaMetaverse'!K141*G79</f>
        <v>76.90573333333334</v>
      </c>
      <c r="H89" s="160">
        <f>'DATA MetaMetaverse'!L141*H79</f>
        <v>75.55988300000001</v>
      </c>
      <c r="I89" s="160">
        <f>'DATA MetaMetaverse'!M141*I79</f>
        <v>77.20708844940002</v>
      </c>
      <c r="J89" s="160">
        <f>'DATA MetaMetaverse'!N141*J79</f>
        <v>78.89020297759696</v>
      </c>
      <c r="K89" s="160">
        <f>'DATA MetaMetaverse'!O141*K79</f>
        <v>80.61000940250858</v>
      </c>
      <c r="L89" s="160">
        <f>'DATA MetaMetaverse'!P141*L79</f>
        <v>82.36730760748327</v>
      </c>
      <c r="M89" s="159">
        <f>'DATA MetaMetaverse'!Q141*M79</f>
        <v>86.98953805854815</v>
      </c>
      <c r="N89" s="161">
        <f>'DATA MetaMetaverse'!R141*N79</f>
        <v>91.87115557668297</v>
      </c>
      <c r="O89" s="160">
        <f>'DATA MetaMetaverse'!S141*O79</f>
        <v>104.49030982093582</v>
      </c>
      <c r="P89" s="160">
        <f>'DATA MetaMetaverse'!T141*P79</f>
        <v>118.84279432364318</v>
      </c>
      <c r="Q89" s="160">
        <f>'DATA MetaMetaverse'!U141*Q79</f>
        <v>135.16669427868734</v>
      </c>
      <c r="R89" s="160">
        <f>'DATA MetaMetaverse'!V141*R79</f>
        <v>153.73279756847148</v>
      </c>
      <c r="S89" s="161">
        <f>'DATA MetaMetaverse'!W141*S79</f>
        <v>174.84908670992874</v>
      </c>
      <c r="T89" s="143"/>
      <c r="U89" s="143"/>
      <c r="V89" s="143"/>
      <c r="W89" s="143"/>
      <c r="X89" s="143"/>
      <c r="Y89" s="143"/>
    </row>
    <row r="90" spans="1:25" s="143" customFormat="1" ht="15" customHeight="1">
      <c r="A90" s="155" t="s">
        <v>165</v>
      </c>
      <c r="B90" s="159">
        <f>'DATA MetaMetaverse'!F142*B81</f>
        <v>36.62109374999998</v>
      </c>
      <c r="C90" s="160">
        <f>'DATA MetaMetaverse'!G142*C81</f>
        <v>52.73437499999989</v>
      </c>
      <c r="D90" s="160">
        <f>'DATA MetaMetaverse'!H142*D81</f>
        <v>86.28531678082189</v>
      </c>
      <c r="E90" s="160">
        <f>'DATA MetaMetaverse'!I142*E81</f>
        <v>100.78124999999996</v>
      </c>
      <c r="F90" s="160">
        <f>'DATA MetaMetaverse'!J142*F81</f>
        <v>124.68749999999997</v>
      </c>
      <c r="G90" s="160">
        <f>'DATA MetaMetaverse'!K142*G81</f>
        <v>170.99999999999997</v>
      </c>
      <c r="H90" s="160">
        <f>'DATA MetaMetaverse'!L142*H81</f>
        <v>208.79999999999998</v>
      </c>
      <c r="I90" s="160">
        <f>'DATA MetaMetaverse'!M142*I81</f>
        <v>237.19679999999997</v>
      </c>
      <c r="J90" s="160">
        <f>'DATA MetaMetaverse'!N142*J81</f>
        <v>269.4555648</v>
      </c>
      <c r="K90" s="160">
        <f>'DATA MetaMetaverse'!O142*K81</f>
        <v>306.1015216128</v>
      </c>
      <c r="L90" s="160">
        <f>'DATA MetaMetaverse'!P142*L81</f>
        <v>347.7313285521408</v>
      </c>
      <c r="M90" s="159">
        <f>'DATA MetaMetaverse'!Q142*M81</f>
        <v>381.1135360931463</v>
      </c>
      <c r="N90" s="161">
        <f>'DATA MetaMetaverse'!R142*N81</f>
        <v>417.7004355580885</v>
      </c>
      <c r="O90" s="160">
        <f>'DATA MetaMetaverse'!S142*O81</f>
        <v>486.412157207394</v>
      </c>
      <c r="P90" s="160">
        <f>'DATA MetaMetaverse'!T142*P81</f>
        <v>566.4269570680103</v>
      </c>
      <c r="Q90" s="160">
        <f>'DATA MetaMetaverse'!U142*Q81</f>
        <v>659.604191505698</v>
      </c>
      <c r="R90" s="160">
        <f>'DATA MetaMetaverse'!V142*R81</f>
        <v>768.1090810083855</v>
      </c>
      <c r="S90" s="161">
        <f>'DATA MetaMetaverse'!W142*S81</f>
        <v>894.463024834265</v>
      </c>
      <c r="T90" s="143"/>
      <c r="U90" s="143"/>
      <c r="V90" s="143"/>
      <c r="W90" s="143"/>
      <c r="X90" s="143"/>
      <c r="Y90" s="143"/>
    </row>
    <row r="91" spans="1:25" s="143" customFormat="1" ht="15" customHeight="1">
      <c r="A91" s="442" t="s">
        <v>166</v>
      </c>
      <c r="B91" s="201">
        <f>SUM(B88:B90)</f>
        <v>270.10320733024696</v>
      </c>
      <c r="C91" s="202">
        <f aca="true" t="shared" si="14" ref="C91:S91">SUM(C88:C90)</f>
        <v>256.62415277777774</v>
      </c>
      <c r="D91" s="202">
        <f t="shared" si="14"/>
        <v>287.53858881147323</v>
      </c>
      <c r="E91" s="202">
        <f t="shared" si="14"/>
        <v>278.54765</v>
      </c>
      <c r="F91" s="202">
        <f t="shared" si="14"/>
        <v>290.3230555555556</v>
      </c>
      <c r="G91" s="202">
        <f t="shared" si="14"/>
        <v>323.25373333333334</v>
      </c>
      <c r="H91" s="202">
        <f t="shared" si="14"/>
        <v>349.347533</v>
      </c>
      <c r="I91" s="202">
        <f t="shared" si="14"/>
        <v>372.6978104994</v>
      </c>
      <c r="J91" s="202">
        <f t="shared" si="14"/>
        <v>400.6354158564469</v>
      </c>
      <c r="K91" s="202">
        <f t="shared" si="14"/>
        <v>433.615345342037</v>
      </c>
      <c r="L91" s="202">
        <f t="shared" si="14"/>
        <v>472.1713576106995</v>
      </c>
      <c r="M91" s="201">
        <f t="shared" si="14"/>
        <v>510.5245411537313</v>
      </c>
      <c r="N91" s="259">
        <f t="shared" si="14"/>
        <v>552.3446944791215</v>
      </c>
      <c r="O91" s="202">
        <f t="shared" si="14"/>
        <v>637.3476333484501</v>
      </c>
      <c r="P91" s="202">
        <f t="shared" si="14"/>
        <v>735.702226611822</v>
      </c>
      <c r="Q91" s="202">
        <f t="shared" si="14"/>
        <v>849.5329796329131</v>
      </c>
      <c r="R91" s="202">
        <f t="shared" si="14"/>
        <v>981.3052880086367</v>
      </c>
      <c r="S91" s="259">
        <f t="shared" si="14"/>
        <v>1133.880443628642</v>
      </c>
      <c r="T91" s="143"/>
      <c r="U91" s="143"/>
      <c r="V91" s="143"/>
      <c r="W91" s="143"/>
      <c r="X91" s="143"/>
      <c r="Y91" s="143"/>
    </row>
    <row r="92" spans="1:25" s="143" customFormat="1" ht="15" customHeight="1">
      <c r="A92" s="155" t="s">
        <v>167</v>
      </c>
      <c r="B92" s="159">
        <f>'DATA MetaMetaverse'!F143*B83</f>
        <v>16.74146559388677</v>
      </c>
      <c r="C92" s="160">
        <f>'DATA MetaMetaverse'!G143*C83</f>
        <v>21.033492705877105</v>
      </c>
      <c r="D92" s="160">
        <f>'DATA MetaMetaverse'!H143*D83</f>
        <v>29.009023095767503</v>
      </c>
      <c r="E92" s="160">
        <f>'DATA MetaMetaverse'!I143*E83</f>
        <v>41.88409164422941</v>
      </c>
      <c r="F92" s="160">
        <f>'DATA MetaMetaverse'!J143*F83</f>
        <v>52.22642568370987</v>
      </c>
      <c r="G92" s="160">
        <f>'DATA MetaMetaverse'!K143*G83</f>
        <v>62.03197727999999</v>
      </c>
      <c r="H92" s="160">
        <f>'DATA MetaMetaverse'!L143*H83</f>
        <v>70.25633190772558</v>
      </c>
      <c r="I92" s="160">
        <f>'DATA MetaMetaverse'!M143*I83</f>
        <v>81.2865760172385</v>
      </c>
      <c r="J92" s="160">
        <f>'DATA MetaMetaverse'!N143*J83</f>
        <v>94.04856845194494</v>
      </c>
      <c r="K92" s="160">
        <f>'DATA MetaMetaverse'!O143*K83</f>
        <v>108.81419369890031</v>
      </c>
      <c r="L92" s="160">
        <f>'DATA MetaMetaverse'!P143*L83</f>
        <v>125.89802210962766</v>
      </c>
      <c r="M92" s="159">
        <f>'DATA MetaMetaverse'!Q143*M83</f>
        <v>145.6640115808392</v>
      </c>
      <c r="N92" s="161">
        <f>'DATA MetaMetaverse'!R143*N83</f>
        <v>168.53326139903098</v>
      </c>
      <c r="O92" s="160">
        <f>'DATA MetaMetaverse'!S143*O83</f>
        <v>194.99298343867886</v>
      </c>
      <c r="P92" s="160">
        <f>'DATA MetaMetaverse'!T143*P83</f>
        <v>225.60688183855143</v>
      </c>
      <c r="Q92" s="160">
        <f>'DATA MetaMetaverse'!U143*Q83</f>
        <v>261.027162287204</v>
      </c>
      <c r="R92" s="160">
        <f>'DATA MetaMetaverse'!V143*R83</f>
        <v>302.00842676629503</v>
      </c>
      <c r="S92" s="161">
        <f>'DATA MetaMetaverse'!W143*S83</f>
        <v>349.4237497686034</v>
      </c>
      <c r="T92" s="143"/>
      <c r="U92" s="143"/>
      <c r="V92" s="143"/>
      <c r="W92" s="143"/>
      <c r="X92" s="143"/>
      <c r="Y92" s="143"/>
    </row>
    <row r="93" spans="1:19" ht="15" customHeight="1">
      <c r="A93" s="155" t="s">
        <v>171</v>
      </c>
      <c r="B93" s="159">
        <f>'DATA MetaMetaverse'!F144*B84</f>
        <v>205.62663399216675</v>
      </c>
      <c r="C93" s="160">
        <f>'DATA MetaMetaverse'!G144*C84</f>
        <v>216.2023367694861</v>
      </c>
      <c r="D93" s="160">
        <f>'DATA MetaMetaverse'!H144*D84</f>
        <v>246.73427521600303</v>
      </c>
      <c r="E93" s="160">
        <f>'DATA MetaMetaverse'!I144*E84</f>
        <v>290.3414960555973</v>
      </c>
      <c r="F93" s="160">
        <f>'DATA MetaMetaverse'!J144*F84</f>
        <v>326.39889165805783</v>
      </c>
      <c r="G93" s="160">
        <f>'DATA MetaMetaverse'!K144*G84</f>
        <v>347.4937691059091</v>
      </c>
      <c r="H93" s="160">
        <f>'DATA MetaMetaverse'!L144*H84</f>
        <v>350.33663153860476</v>
      </c>
      <c r="I93" s="160">
        <f>'DATA MetaMetaverse'!M144*I84</f>
        <v>356.29235427476107</v>
      </c>
      <c r="J93" s="160">
        <f>'DATA MetaMetaverse'!N144*J84</f>
        <v>362.34932429743196</v>
      </c>
      <c r="K93" s="160">
        <f>'DATA MetaMetaverse'!O144*K84</f>
        <v>368.5092628104883</v>
      </c>
      <c r="L93" s="160">
        <f>'DATA MetaMetaverse'!P144*L84</f>
        <v>374.77392027826653</v>
      </c>
      <c r="M93" s="159">
        <f>'DATA MetaMetaverse'!Q144*M84</f>
        <v>421.6206603130499</v>
      </c>
      <c r="N93" s="161">
        <f>'DATA MetaMetaverse'!R144*N84</f>
        <v>474.3232428521811</v>
      </c>
      <c r="O93" s="160">
        <f>'DATA MetaMetaverse'!S144*O84</f>
        <v>533.6136482087037</v>
      </c>
      <c r="P93" s="160">
        <f>'DATA MetaMetaverse'!T144*P84</f>
        <v>600.3153542347916</v>
      </c>
      <c r="Q93" s="160">
        <f>'DATA MetaMetaverse'!U144*Q84</f>
        <v>675.3547735141407</v>
      </c>
      <c r="R93" s="160">
        <f>'DATA MetaMetaverse'!V144*R84</f>
        <v>759.7741202034082</v>
      </c>
      <c r="S93" s="161">
        <f>'DATA MetaMetaverse'!W144*S84</f>
        <v>854.7458852288343</v>
      </c>
    </row>
    <row r="94" spans="1:19" ht="15" customHeight="1">
      <c r="A94" s="197" t="s">
        <v>169</v>
      </c>
      <c r="B94" s="201">
        <f aca="true" t="shared" si="15" ref="B94:S94">SUM(B92:B93)</f>
        <v>222.36809958605352</v>
      </c>
      <c r="C94" s="202">
        <f t="shared" si="15"/>
        <v>237.2358294753632</v>
      </c>
      <c r="D94" s="202">
        <f t="shared" si="15"/>
        <v>275.74329831177056</v>
      </c>
      <c r="E94" s="202">
        <f t="shared" si="15"/>
        <v>332.2255876998267</v>
      </c>
      <c r="F94" s="202">
        <f t="shared" si="15"/>
        <v>378.6253173417677</v>
      </c>
      <c r="G94" s="202">
        <f t="shared" si="15"/>
        <v>409.5257463859091</v>
      </c>
      <c r="H94" s="202">
        <f t="shared" si="15"/>
        <v>420.5929634463304</v>
      </c>
      <c r="I94" s="202">
        <f t="shared" si="15"/>
        <v>437.57893029199954</v>
      </c>
      <c r="J94" s="202">
        <f t="shared" si="15"/>
        <v>456.3978927493769</v>
      </c>
      <c r="K94" s="202">
        <f t="shared" si="15"/>
        <v>477.3234565093886</v>
      </c>
      <c r="L94" s="202">
        <f t="shared" si="15"/>
        <v>500.6719423878942</v>
      </c>
      <c r="M94" s="201">
        <f t="shared" si="15"/>
        <v>567.284671893889</v>
      </c>
      <c r="N94" s="259">
        <f t="shared" si="15"/>
        <v>642.8565042512121</v>
      </c>
      <c r="O94" s="202">
        <f t="shared" si="15"/>
        <v>728.6066316473825</v>
      </c>
      <c r="P94" s="202">
        <f t="shared" si="15"/>
        <v>825.922236073343</v>
      </c>
      <c r="Q94" s="202">
        <f t="shared" si="15"/>
        <v>936.3819358013448</v>
      </c>
      <c r="R94" s="202">
        <f t="shared" si="15"/>
        <v>1061.7825469697032</v>
      </c>
      <c r="S94" s="259">
        <f t="shared" si="15"/>
        <v>1204.1696349974377</v>
      </c>
    </row>
    <row r="95" spans="8:25" s="143" customFormat="1" ht="15" customHeight="1">
      <c r="H95" s="388"/>
      <c r="P95" s="377"/>
      <c r="Q95" s="377"/>
      <c r="R95" s="377"/>
      <c r="S95" s="389"/>
      <c r="T95" s="143"/>
      <c r="U95" s="389"/>
      <c r="V95" s="143"/>
      <c r="W95" s="143"/>
      <c r="X95" s="251"/>
      <c r="Y95" s="143"/>
    </row>
    <row r="96" spans="1:25" s="143" customFormat="1" ht="15" customHeight="1">
      <c r="A96" s="329"/>
      <c r="H96" s="388"/>
      <c r="O96" s="389"/>
      <c r="P96" s="389"/>
      <c r="Q96" s="389"/>
      <c r="R96" s="389"/>
      <c r="T96" s="143"/>
      <c r="U96" s="143"/>
      <c r="V96" s="143"/>
      <c r="W96" s="143"/>
      <c r="X96" s="143"/>
      <c r="Y96" s="143"/>
    </row>
    <row r="97" spans="1:25" s="143" customFormat="1" ht="15" customHeight="1">
      <c r="A97" s="329"/>
      <c r="H97" s="388"/>
      <c r="O97" s="389"/>
      <c r="P97" s="389"/>
      <c r="Q97" s="389"/>
      <c r="R97" s="389"/>
      <c r="T97" s="143"/>
      <c r="U97" s="143"/>
      <c r="V97" s="143"/>
      <c r="W97" s="143"/>
      <c r="X97" s="143"/>
      <c r="Y97" s="143"/>
    </row>
    <row r="98" spans="1:25" s="143" customFormat="1" ht="30" customHeight="1">
      <c r="A98" s="390" t="s">
        <v>364</v>
      </c>
      <c r="B98" s="391"/>
      <c r="C98" s="391"/>
      <c r="D98" s="391"/>
      <c r="E98" s="391"/>
      <c r="F98" s="391"/>
      <c r="G98" s="391"/>
      <c r="H98" s="391"/>
      <c r="I98" s="391"/>
      <c r="J98" s="391"/>
      <c r="K98" s="391"/>
      <c r="L98" s="391"/>
      <c r="M98" s="391"/>
      <c r="N98" s="391"/>
      <c r="O98" s="391"/>
      <c r="P98" s="391"/>
      <c r="Q98" s="391"/>
      <c r="R98" s="391"/>
      <c r="S98" s="392"/>
      <c r="T98" s="143"/>
      <c r="U98" s="143"/>
      <c r="V98" s="143"/>
      <c r="W98" s="143"/>
      <c r="X98" s="143"/>
      <c r="Y98" s="143"/>
    </row>
    <row r="99" spans="1:25" s="143" customFormat="1" ht="30" customHeight="1">
      <c r="A99" s="393" t="s">
        <v>332</v>
      </c>
      <c r="B99" s="269">
        <v>2013</v>
      </c>
      <c r="C99" s="271">
        <v>2014</v>
      </c>
      <c r="D99" s="271">
        <v>2015</v>
      </c>
      <c r="E99" s="271">
        <v>2016</v>
      </c>
      <c r="F99" s="271">
        <v>2017</v>
      </c>
      <c r="G99" s="271">
        <v>2018</v>
      </c>
      <c r="H99" s="394">
        <v>2019</v>
      </c>
      <c r="I99" s="271">
        <v>2020</v>
      </c>
      <c r="J99" s="271">
        <v>2021</v>
      </c>
      <c r="K99" s="271">
        <v>2022</v>
      </c>
      <c r="L99" s="270">
        <v>2023</v>
      </c>
      <c r="M99" s="269">
        <v>2024</v>
      </c>
      <c r="N99" s="270">
        <v>2025</v>
      </c>
      <c r="O99" s="153">
        <v>2026</v>
      </c>
      <c r="P99" s="152">
        <v>2027</v>
      </c>
      <c r="Q99" s="152">
        <v>2028</v>
      </c>
      <c r="R99" s="152">
        <v>2029</v>
      </c>
      <c r="S99" s="154">
        <v>2030</v>
      </c>
      <c r="T99" s="143"/>
      <c r="U99" s="143"/>
      <c r="V99" s="143"/>
      <c r="W99" s="143"/>
      <c r="X99" s="143"/>
      <c r="Y99" s="143"/>
    </row>
    <row r="100" spans="1:25" s="143" customFormat="1" ht="15" customHeight="1">
      <c r="A100" s="395" t="s">
        <v>333</v>
      </c>
      <c r="B100" s="159">
        <f>B74</f>
        <v>968.5805814938881</v>
      </c>
      <c r="C100" s="160">
        <f aca="true" t="shared" si="16" ref="C100:S100">C74</f>
        <v>986.0228772492006</v>
      </c>
      <c r="D100" s="160">
        <f t="shared" si="16"/>
        <v>1007.820057880764</v>
      </c>
      <c r="E100" s="160">
        <f t="shared" si="16"/>
        <v>1034.852713967025</v>
      </c>
      <c r="F100" s="160">
        <f t="shared" si="16"/>
        <v>1068.2900531365021</v>
      </c>
      <c r="G100" s="160">
        <f t="shared" si="16"/>
        <v>1109.7189560075742</v>
      </c>
      <c r="H100" s="160">
        <f t="shared" si="16"/>
        <v>1161.3536</v>
      </c>
      <c r="I100" s="160">
        <f t="shared" si="16"/>
        <v>1233.0597222499998</v>
      </c>
      <c r="J100" s="160">
        <f t="shared" si="16"/>
        <v>1305.6494592425374</v>
      </c>
      <c r="K100" s="160">
        <f t="shared" si="16"/>
        <v>1391.7748660896311</v>
      </c>
      <c r="L100" s="161">
        <f t="shared" si="16"/>
        <v>1492.9651577509464</v>
      </c>
      <c r="M100" s="159">
        <f t="shared" si="16"/>
        <v>1618.7651179814873</v>
      </c>
      <c r="N100" s="161">
        <f t="shared" si="16"/>
        <v>1769.2472430359724</v>
      </c>
      <c r="O100" s="159">
        <f t="shared" si="16"/>
        <v>1934.2122222068408</v>
      </c>
      <c r="P100" s="160">
        <f t="shared" si="16"/>
        <v>2128.9012023021796</v>
      </c>
      <c r="Q100" s="160">
        <f t="shared" si="16"/>
        <v>2360.0214654259335</v>
      </c>
      <c r="R100" s="160">
        <f t="shared" si="16"/>
        <v>2636.0193563203466</v>
      </c>
      <c r="S100" s="161">
        <f t="shared" si="16"/>
        <v>2967.5790275074964</v>
      </c>
      <c r="T100" s="143"/>
      <c r="U100" s="143"/>
      <c r="V100" s="143"/>
      <c r="W100" s="143"/>
      <c r="X100" s="143"/>
      <c r="Y100" s="143"/>
    </row>
    <row r="101" spans="1:25" s="143" customFormat="1" ht="15" customHeight="1">
      <c r="A101" s="395" t="s">
        <v>172</v>
      </c>
      <c r="B101" s="159">
        <f>B91</f>
        <v>270.10320733024696</v>
      </c>
      <c r="C101" s="160">
        <f aca="true" t="shared" si="17" ref="C101:S101">C91</f>
        <v>256.62415277777774</v>
      </c>
      <c r="D101" s="160">
        <f t="shared" si="17"/>
        <v>287.53858881147323</v>
      </c>
      <c r="E101" s="160">
        <f t="shared" si="17"/>
        <v>278.54765</v>
      </c>
      <c r="F101" s="160">
        <f t="shared" si="17"/>
        <v>290.3230555555556</v>
      </c>
      <c r="G101" s="160">
        <f t="shared" si="17"/>
        <v>323.25373333333334</v>
      </c>
      <c r="H101" s="160">
        <f t="shared" si="17"/>
        <v>349.347533</v>
      </c>
      <c r="I101" s="160">
        <f t="shared" si="17"/>
        <v>372.6978104994</v>
      </c>
      <c r="J101" s="160">
        <f t="shared" si="17"/>
        <v>400.6354158564469</v>
      </c>
      <c r="K101" s="160">
        <f t="shared" si="17"/>
        <v>433.615345342037</v>
      </c>
      <c r="L101" s="161">
        <f t="shared" si="17"/>
        <v>472.1713576106995</v>
      </c>
      <c r="M101" s="159">
        <f t="shared" si="17"/>
        <v>510.5245411537313</v>
      </c>
      <c r="N101" s="161">
        <f t="shared" si="17"/>
        <v>552.3446944791215</v>
      </c>
      <c r="O101" s="159">
        <f t="shared" si="17"/>
        <v>637.3476333484501</v>
      </c>
      <c r="P101" s="160">
        <f t="shared" si="17"/>
        <v>735.702226611822</v>
      </c>
      <c r="Q101" s="160">
        <f t="shared" si="17"/>
        <v>849.5329796329131</v>
      </c>
      <c r="R101" s="160">
        <f t="shared" si="17"/>
        <v>981.3052880086367</v>
      </c>
      <c r="S101" s="161">
        <f t="shared" si="17"/>
        <v>1133.880443628642</v>
      </c>
      <c r="T101" s="143"/>
      <c r="U101" s="143"/>
      <c r="V101" s="143"/>
      <c r="W101" s="143"/>
      <c r="X101" s="143"/>
      <c r="Y101" s="143"/>
    </row>
    <row r="102" spans="1:25" s="143" customFormat="1" ht="15" customHeight="1">
      <c r="A102" s="395" t="s">
        <v>327</v>
      </c>
      <c r="B102" s="159">
        <f>B94</f>
        <v>222.36809958605352</v>
      </c>
      <c r="C102" s="160">
        <f aca="true" t="shared" si="18" ref="C102:S102">C94</f>
        <v>237.2358294753632</v>
      </c>
      <c r="D102" s="160">
        <f t="shared" si="18"/>
        <v>275.74329831177056</v>
      </c>
      <c r="E102" s="160">
        <f t="shared" si="18"/>
        <v>332.2255876998267</v>
      </c>
      <c r="F102" s="160">
        <f t="shared" si="18"/>
        <v>378.6253173417677</v>
      </c>
      <c r="G102" s="160">
        <f t="shared" si="18"/>
        <v>409.5257463859091</v>
      </c>
      <c r="H102" s="160">
        <f t="shared" si="18"/>
        <v>420.5929634463304</v>
      </c>
      <c r="I102" s="160">
        <f t="shared" si="18"/>
        <v>437.57893029199954</v>
      </c>
      <c r="J102" s="160">
        <f t="shared" si="18"/>
        <v>456.3978927493769</v>
      </c>
      <c r="K102" s="160">
        <f t="shared" si="18"/>
        <v>477.3234565093886</v>
      </c>
      <c r="L102" s="161">
        <f t="shared" si="18"/>
        <v>500.6719423878942</v>
      </c>
      <c r="M102" s="159">
        <f t="shared" si="18"/>
        <v>567.284671893889</v>
      </c>
      <c r="N102" s="161">
        <f t="shared" si="18"/>
        <v>642.8565042512121</v>
      </c>
      <c r="O102" s="159">
        <f t="shared" si="18"/>
        <v>728.6066316473825</v>
      </c>
      <c r="P102" s="160">
        <f t="shared" si="18"/>
        <v>825.922236073343</v>
      </c>
      <c r="Q102" s="160">
        <f t="shared" si="18"/>
        <v>936.3819358013448</v>
      </c>
      <c r="R102" s="160">
        <f t="shared" si="18"/>
        <v>1061.7825469697032</v>
      </c>
      <c r="S102" s="161">
        <f t="shared" si="18"/>
        <v>1204.1696349974377</v>
      </c>
      <c r="T102" s="143"/>
      <c r="U102" s="143"/>
      <c r="V102" s="143"/>
      <c r="W102" s="143"/>
      <c r="X102" s="143"/>
      <c r="Y102" s="143"/>
    </row>
    <row r="103" spans="1:19" ht="15" customHeight="1">
      <c r="A103" s="396" t="s">
        <v>334</v>
      </c>
      <c r="B103" s="159">
        <f aca="true" t="shared" si="19" ref="B103:R103">SUM(B100:B102)</f>
        <v>1461.0518884101884</v>
      </c>
      <c r="C103" s="160">
        <f t="shared" si="19"/>
        <v>1479.8828595023417</v>
      </c>
      <c r="D103" s="160">
        <f t="shared" si="19"/>
        <v>1571.1019450040078</v>
      </c>
      <c r="E103" s="160">
        <f t="shared" si="19"/>
        <v>1645.6259516668517</v>
      </c>
      <c r="F103" s="160">
        <f t="shared" si="19"/>
        <v>1737.2384260338254</v>
      </c>
      <c r="G103" s="160">
        <f t="shared" si="19"/>
        <v>1842.4984357268165</v>
      </c>
      <c r="H103" s="160">
        <f t="shared" si="19"/>
        <v>1931.2940964463305</v>
      </c>
      <c r="I103" s="160">
        <f t="shared" si="19"/>
        <v>2043.3364630413994</v>
      </c>
      <c r="J103" s="160">
        <f t="shared" si="19"/>
        <v>2162.682767848361</v>
      </c>
      <c r="K103" s="160">
        <f t="shared" si="19"/>
        <v>2302.713667941057</v>
      </c>
      <c r="L103" s="161">
        <f t="shared" si="19"/>
        <v>2465.80845774954</v>
      </c>
      <c r="M103" s="159">
        <f t="shared" si="19"/>
        <v>2696.5743310291077</v>
      </c>
      <c r="N103" s="161">
        <f t="shared" si="19"/>
        <v>2964.448441766306</v>
      </c>
      <c r="O103" s="159">
        <f t="shared" si="19"/>
        <v>3300.1664872026736</v>
      </c>
      <c r="P103" s="160">
        <f t="shared" si="19"/>
        <v>3690.5256649873445</v>
      </c>
      <c r="Q103" s="160">
        <f t="shared" si="19"/>
        <v>4145.936380860192</v>
      </c>
      <c r="R103" s="160">
        <f t="shared" si="19"/>
        <v>4679.107191298686</v>
      </c>
      <c r="S103" s="161">
        <f>SUM(S100:S102)</f>
        <v>5305.629106133576</v>
      </c>
    </row>
    <row r="104" spans="1:25" s="143" customFormat="1" ht="15" customHeight="1">
      <c r="A104" s="396" t="s">
        <v>335</v>
      </c>
      <c r="B104" s="397">
        <f>B103/'DATA MetaMetaverse'!F15</f>
        <v>0.013634452940133051</v>
      </c>
      <c r="C104" s="398">
        <f>C103/'DATA MetaMetaverse'!G15</f>
        <v>0.01366044245339128</v>
      </c>
      <c r="D104" s="398">
        <f>D103/'DATA MetaMetaverse'!H15</f>
        <v>0.01434995230392677</v>
      </c>
      <c r="E104" s="398">
        <f>E103/'DATA MetaMetaverse'!I15</f>
        <v>0.014841447675494479</v>
      </c>
      <c r="F104" s="398">
        <f>F103/'DATA MetaMetaverse'!J15</f>
        <v>0.015372606465765562</v>
      </c>
      <c r="G104" s="398">
        <f>G103/'DATA MetaMetaverse'!K15</f>
        <v>0.016094806694786735</v>
      </c>
      <c r="H104" s="398">
        <f>H103/'DATA MetaMetaverse'!L15</f>
        <v>0.016653963357279283</v>
      </c>
      <c r="I104" s="398">
        <f>I103/'DATA MetaMetaverse'!M15</f>
        <v>0.01739400663709564</v>
      </c>
      <c r="J104" s="398">
        <f>J103/'DATA MetaMetaverse'!N15</f>
        <v>0.018173690216479448</v>
      </c>
      <c r="K104" s="398">
        <f>K103/'DATA MetaMetaverse'!O15</f>
        <v>0.01910208593489514</v>
      </c>
      <c r="L104" s="399">
        <f>L103/'DATA MetaMetaverse'!P15</f>
        <v>0.020192530533700587</v>
      </c>
      <c r="M104" s="397">
        <f>M103/'DATA MetaMetaverse'!Q15</f>
        <v>0.021798889058730345</v>
      </c>
      <c r="N104" s="399">
        <f>N103/'DATA MetaMetaverse'!R15</f>
        <v>0.02365682303125214</v>
      </c>
      <c r="O104" s="397">
        <f>O103/'DATA MetaMetaverse'!S15</f>
        <v>0.0022644808623033847</v>
      </c>
      <c r="P104" s="398">
        <f>P103/'DATA MetaMetaverse'!T15</f>
        <v>0.0002177415549897613</v>
      </c>
      <c r="Q104" s="398">
        <f>Q103/'DATA MetaMetaverse'!U15</f>
        <v>2.1032747545611934E-05</v>
      </c>
      <c r="R104" s="398">
        <f>R103/'DATA MetaMetaverse'!V15</f>
        <v>2.041064151953574E-06</v>
      </c>
      <c r="S104" s="399">
        <f>S103/'DATA MetaMetaverse'!W15</f>
        <v>1.9899897206405755E-07</v>
      </c>
      <c r="T104" s="143"/>
      <c r="U104" s="143"/>
      <c r="V104" s="143"/>
      <c r="W104" s="143"/>
      <c r="X104" s="143"/>
      <c r="Y104" s="143"/>
    </row>
    <row r="105" spans="1:25" s="143" customFormat="1" ht="15" customHeight="1">
      <c r="A105" s="396" t="s">
        <v>336</v>
      </c>
      <c r="B105" s="397">
        <f>B103/'DATA MetaMetaverse'!F8</f>
        <v>0.07497187440528472</v>
      </c>
      <c r="C105" s="398">
        <f>C103/'DATA MetaMetaverse'!G8</f>
        <v>0.07444078770132503</v>
      </c>
      <c r="D105" s="398">
        <f>D103/'DATA MetaMetaverse'!H8</f>
        <v>0.0777773240100994</v>
      </c>
      <c r="E105" s="398">
        <f>E103/'DATA MetaMetaverse'!I8</f>
        <v>0.07900647902764664</v>
      </c>
      <c r="F105" s="398">
        <f>F103/'DATA MetaMetaverse'!J8</f>
        <v>0.0812857208512926</v>
      </c>
      <c r="G105" s="398">
        <f>G103/'DATA MetaMetaverse'!K8</f>
        <v>0.08443766601017491</v>
      </c>
      <c r="H105" s="398">
        <f>H103/'DATA MetaMetaverse'!L8</f>
        <v>0.08668655883555128</v>
      </c>
      <c r="I105" s="398">
        <f>I103/'DATA MetaMetaverse'!M8</f>
        <v>0.08982919198679443</v>
      </c>
      <c r="J105" s="398">
        <f>J103/'DATA MetaMetaverse'!N8</f>
        <v>0.09312036850916225</v>
      </c>
      <c r="K105" s="398">
        <f>K103/'DATA MetaMetaverse'!O8</f>
        <v>0.09711047151357378</v>
      </c>
      <c r="L105" s="399">
        <f>L103/'DATA MetaMetaverse'!P8</f>
        <v>0.10184969196406123</v>
      </c>
      <c r="M105" s="397">
        <f>M103/'DATA MetaMetaverse'!Q8</f>
        <v>0.10909052605055189</v>
      </c>
      <c r="N105" s="399">
        <f>N103/'DATA MetaMetaverse'!R8</f>
        <v>0.11746075802635361</v>
      </c>
      <c r="O105" s="397">
        <f>O103/'DATA MetaMetaverse'!S8</f>
        <v>0.12807341960086877</v>
      </c>
      <c r="P105" s="398">
        <f>P103/'DATA MetaMetaverse'!T8</f>
        <v>0.14027673324396228</v>
      </c>
      <c r="Q105" s="398">
        <f>Q103/'DATA MetaMetaverse'!U8</f>
        <v>0.15434561839340938</v>
      </c>
      <c r="R105" s="398">
        <f>R103/'DATA MetaMetaverse'!V8</f>
        <v>0.17061174455585987</v>
      </c>
      <c r="S105" s="399">
        <f>S103/'DATA MetaMetaverse'!W8</f>
        <v>0.18947725064407536</v>
      </c>
      <c r="T105" s="143"/>
      <c r="U105" s="143"/>
      <c r="V105" s="143"/>
      <c r="W105" s="143"/>
      <c r="X105" s="143"/>
      <c r="Y105" s="143"/>
    </row>
    <row r="106" spans="1:25" s="143" customFormat="1" ht="15" customHeight="1">
      <c r="A106" s="400" t="s">
        <v>337</v>
      </c>
      <c r="B106" s="219">
        <f>3*B103</f>
        <v>4383.155665230565</v>
      </c>
      <c r="C106" s="220">
        <f aca="true" t="shared" si="20" ref="C106:S106">3*C103</f>
        <v>4439.648578507025</v>
      </c>
      <c r="D106" s="220">
        <f t="shared" si="20"/>
        <v>4713.305835012024</v>
      </c>
      <c r="E106" s="220">
        <f t="shared" si="20"/>
        <v>4936.877855000555</v>
      </c>
      <c r="F106" s="220">
        <f t="shared" si="20"/>
        <v>5211.715278101476</v>
      </c>
      <c r="G106" s="220">
        <f t="shared" si="20"/>
        <v>5527.495307180449</v>
      </c>
      <c r="H106" s="220">
        <f t="shared" si="20"/>
        <v>5793.8822893389915</v>
      </c>
      <c r="I106" s="220">
        <f t="shared" si="20"/>
        <v>6130.009389124198</v>
      </c>
      <c r="J106" s="220">
        <f t="shared" si="20"/>
        <v>6488.048303545083</v>
      </c>
      <c r="K106" s="220">
        <f t="shared" si="20"/>
        <v>6908.141003823171</v>
      </c>
      <c r="L106" s="222">
        <f t="shared" si="20"/>
        <v>7397.42537324862</v>
      </c>
      <c r="M106" s="219">
        <f t="shared" si="20"/>
        <v>8089.722993087324</v>
      </c>
      <c r="N106" s="222">
        <f t="shared" si="20"/>
        <v>8893.345325298918</v>
      </c>
      <c r="O106" s="219">
        <f t="shared" si="20"/>
        <v>9900.49946160802</v>
      </c>
      <c r="P106" s="220">
        <f t="shared" si="20"/>
        <v>11071.576994962033</v>
      </c>
      <c r="Q106" s="220">
        <f t="shared" si="20"/>
        <v>12437.809142580576</v>
      </c>
      <c r="R106" s="220">
        <f t="shared" si="20"/>
        <v>14037.321573896059</v>
      </c>
      <c r="S106" s="222">
        <f t="shared" si="20"/>
        <v>15916.887318400728</v>
      </c>
      <c r="T106" s="143"/>
      <c r="U106" s="143"/>
      <c r="V106" s="143"/>
      <c r="W106" s="143"/>
      <c r="X106" s="143"/>
      <c r="Y106" s="143"/>
    </row>
    <row r="107" spans="1:25" s="143" customFormat="1" ht="15" customHeight="1">
      <c r="A107" s="393" t="s">
        <v>338</v>
      </c>
      <c r="B107" s="162">
        <f aca="true" t="shared" si="21" ref="B107:S107">B51</f>
        <v>1553.6329005772363</v>
      </c>
      <c r="C107" s="163">
        <f t="shared" si="21"/>
        <v>1627.248964787018</v>
      </c>
      <c r="D107" s="163">
        <f t="shared" si="21"/>
        <v>1717.9783341224565</v>
      </c>
      <c r="E107" s="163">
        <f t="shared" si="21"/>
        <v>1819.7281109550383</v>
      </c>
      <c r="F107" s="163">
        <f t="shared" si="21"/>
        <v>1961.3614665469618</v>
      </c>
      <c r="G107" s="163">
        <f t="shared" si="21"/>
        <v>2103.132272211158</v>
      </c>
      <c r="H107" s="163">
        <f t="shared" si="21"/>
        <v>2250.037322956653</v>
      </c>
      <c r="I107" s="163">
        <f t="shared" si="21"/>
        <v>2342.072046267849</v>
      </c>
      <c r="J107" s="163">
        <f t="shared" si="21"/>
        <v>2484.7872557575656</v>
      </c>
      <c r="K107" s="163">
        <f t="shared" si="21"/>
        <v>2644.2934723974686</v>
      </c>
      <c r="L107" s="164">
        <f t="shared" si="21"/>
        <v>2823.2794634923143</v>
      </c>
      <c r="M107" s="162">
        <f t="shared" si="21"/>
        <v>3038.232989007008</v>
      </c>
      <c r="N107" s="164">
        <f t="shared" si="21"/>
        <v>3288.8482310284085</v>
      </c>
      <c r="O107" s="162">
        <f t="shared" si="21"/>
        <v>3583.430097412922</v>
      </c>
      <c r="P107" s="163">
        <f t="shared" si="21"/>
        <v>3945.4948162302394</v>
      </c>
      <c r="Q107" s="163">
        <f t="shared" si="21"/>
        <v>4406.6338215722435</v>
      </c>
      <c r="R107" s="163">
        <f t="shared" si="21"/>
        <v>5018.219784289294</v>
      </c>
      <c r="S107" s="164">
        <f t="shared" si="21"/>
        <v>5864.725449726261</v>
      </c>
      <c r="T107" s="143"/>
      <c r="U107" s="143"/>
      <c r="V107" s="143"/>
      <c r="W107" s="143"/>
      <c r="X107" s="143"/>
      <c r="Y107" s="143"/>
    </row>
    <row r="108" spans="1:25" s="143" customFormat="1" ht="15" customHeight="1">
      <c r="A108" s="400" t="s">
        <v>339</v>
      </c>
      <c r="B108" s="401">
        <f>B107/'DATA MetaMetaverse'!F15</f>
        <v>0.014498413668396463</v>
      </c>
      <c r="C108" s="402">
        <f>C107/'DATA MetaMetaverse'!G15</f>
        <v>0.01502074349877178</v>
      </c>
      <c r="D108" s="402">
        <f>D107/'DATA MetaMetaverse'!H15</f>
        <v>0.01569147516635143</v>
      </c>
      <c r="E108" s="402">
        <f>E107/'DATA MetaMetaverse'!I15</f>
        <v>0.016411627147110718</v>
      </c>
      <c r="F108" s="402">
        <f>F107/'DATA MetaMetaverse'!J15</f>
        <v>0.017355843337623814</v>
      </c>
      <c r="G108" s="402">
        <f>G107/'DATA MetaMetaverse'!K15</f>
        <v>0.018371525705775407</v>
      </c>
      <c r="H108" s="402">
        <f>H107/'DATA MetaMetaverse'!L15</f>
        <v>0.019402554586575468</v>
      </c>
      <c r="I108" s="402">
        <f>I107/'DATA MetaMetaverse'!M15</f>
        <v>0.01993700863963575</v>
      </c>
      <c r="J108" s="402">
        <f>J107/'DATA MetaMetaverse'!N15</f>
        <v>0.020880433557493614</v>
      </c>
      <c r="K108" s="402">
        <f>K107/'DATA MetaMetaverse'!O15</f>
        <v>0.021935650033285715</v>
      </c>
      <c r="L108" s="403">
        <f>L107/'DATA MetaMetaverse'!P15</f>
        <v>0.023119864234616462</v>
      </c>
      <c r="M108" s="401">
        <f>M107/'DATA MetaMetaverse'!Q15</f>
        <v>0.024560830050126128</v>
      </c>
      <c r="N108" s="403">
        <f>N107/'DATA MetaMetaverse'!R15</f>
        <v>0.026245590741908117</v>
      </c>
      <c r="O108" s="401">
        <f>O107/'DATA MetaMetaverse'!S15</f>
        <v>0.002458848336427935</v>
      </c>
      <c r="P108" s="402">
        <f>P107/'DATA MetaMetaverse'!T15</f>
        <v>0.00023278477227253229</v>
      </c>
      <c r="Q108" s="402">
        <f>Q107/'DATA MetaMetaverse'!U15</f>
        <v>2.23552915869525E-05</v>
      </c>
      <c r="R108" s="402">
        <f>R107/'DATA MetaMetaverse'!V15</f>
        <v>2.1889877896758046E-06</v>
      </c>
      <c r="S108" s="403">
        <f>S107/'DATA MetaMetaverse'!W15</f>
        <v>2.1996907672725305E-07</v>
      </c>
      <c r="T108" s="143"/>
      <c r="U108" s="143"/>
      <c r="V108" s="143"/>
      <c r="W108" s="143"/>
      <c r="X108" s="143"/>
      <c r="Y108" s="143"/>
    </row>
    <row r="109" spans="1:19" ht="15" customHeight="1">
      <c r="A109" s="268" t="s">
        <v>340</v>
      </c>
      <c r="B109" s="404">
        <f aca="true" t="shared" si="22" ref="B109:S109">B103+B107</f>
        <v>3014.684788987425</v>
      </c>
      <c r="C109" s="405">
        <f t="shared" si="22"/>
        <v>3107.1318242893594</v>
      </c>
      <c r="D109" s="405">
        <f t="shared" si="22"/>
        <v>3289.080279126464</v>
      </c>
      <c r="E109" s="405">
        <f t="shared" si="22"/>
        <v>3465.35406262189</v>
      </c>
      <c r="F109" s="405">
        <f t="shared" si="22"/>
        <v>3698.599892580787</v>
      </c>
      <c r="G109" s="405">
        <f t="shared" si="22"/>
        <v>3945.630707937975</v>
      </c>
      <c r="H109" s="405">
        <f t="shared" si="22"/>
        <v>4181.331419402984</v>
      </c>
      <c r="I109" s="405">
        <f t="shared" si="22"/>
        <v>4385.408509309249</v>
      </c>
      <c r="J109" s="405">
        <f t="shared" si="22"/>
        <v>4647.470023605927</v>
      </c>
      <c r="K109" s="405">
        <f t="shared" si="22"/>
        <v>4947.0071403385255</v>
      </c>
      <c r="L109" s="406">
        <f t="shared" si="22"/>
        <v>5289.087921241855</v>
      </c>
      <c r="M109" s="404">
        <f t="shared" si="22"/>
        <v>5734.807320036116</v>
      </c>
      <c r="N109" s="406">
        <f t="shared" si="22"/>
        <v>6253.296672794715</v>
      </c>
      <c r="O109" s="404">
        <f t="shared" si="22"/>
        <v>6883.596584615596</v>
      </c>
      <c r="P109" s="405">
        <f t="shared" si="22"/>
        <v>7636.020481217583</v>
      </c>
      <c r="Q109" s="405">
        <f t="shared" si="22"/>
        <v>8552.570202432435</v>
      </c>
      <c r="R109" s="405">
        <f t="shared" si="22"/>
        <v>9697.326975587981</v>
      </c>
      <c r="S109" s="406">
        <f t="shared" si="22"/>
        <v>11170.354555859838</v>
      </c>
    </row>
    <row r="110" spans="1:25" s="143" customFormat="1" ht="15" customHeight="1">
      <c r="A110" s="407" t="s">
        <v>341</v>
      </c>
      <c r="B110" s="187">
        <f>B109/'DATA MetaMetaverse'!F15</f>
        <v>0.028132866608529514</v>
      </c>
      <c r="C110" s="189">
        <f>C109/'DATA MetaMetaverse'!G15</f>
        <v>0.028681185952163058</v>
      </c>
      <c r="D110" s="189">
        <f>D109/'DATA MetaMetaverse'!H15</f>
        <v>0.030041427470278197</v>
      </c>
      <c r="E110" s="189">
        <f>E109/'DATA MetaMetaverse'!I15</f>
        <v>0.0312530748226052</v>
      </c>
      <c r="F110" s="189">
        <f>F109/'DATA MetaMetaverse'!J15</f>
        <v>0.032728449803389376</v>
      </c>
      <c r="G110" s="189">
        <f>G109/'DATA MetaMetaverse'!K15</f>
        <v>0.03446633240056214</v>
      </c>
      <c r="H110" s="189">
        <f>H109/'DATA MetaMetaverse'!L15</f>
        <v>0.03605651794385475</v>
      </c>
      <c r="I110" s="189">
        <f>I109/'DATA MetaMetaverse'!M15</f>
        <v>0.03733101527673139</v>
      </c>
      <c r="J110" s="189">
        <f>J109/'DATA MetaMetaverse'!N15</f>
        <v>0.03905412377397306</v>
      </c>
      <c r="K110" s="189">
        <f>K109/'DATA MetaMetaverse'!O15</f>
        <v>0.041037735968180854</v>
      </c>
      <c r="L110" s="188">
        <f>L109/'DATA MetaMetaverse'!P15</f>
        <v>0.04331239476831705</v>
      </c>
      <c r="M110" s="187">
        <f>M109/'DATA MetaMetaverse'!Q15</f>
        <v>0.04635971910885647</v>
      </c>
      <c r="N110" s="188">
        <f>N109/'DATA MetaMetaverse'!R15</f>
        <v>0.04990241377316026</v>
      </c>
      <c r="O110" s="187">
        <f>O109/'DATA MetaMetaverse'!S15</f>
        <v>0.00472332919873132</v>
      </c>
      <c r="P110" s="189">
        <f>P109/'DATA MetaMetaverse'!T15</f>
        <v>0.0004505263272622936</v>
      </c>
      <c r="Q110" s="189">
        <f>Q109/'DATA MetaMetaverse'!U15</f>
        <v>4.338803913256443E-05</v>
      </c>
      <c r="R110" s="189">
        <f>R109/'DATA MetaMetaverse'!V15</f>
        <v>4.230051941629379E-06</v>
      </c>
      <c r="S110" s="188">
        <f>S109/'DATA MetaMetaverse'!W15</f>
        <v>4.1896804879131063E-07</v>
      </c>
      <c r="T110" s="143"/>
      <c r="U110" s="143"/>
      <c r="V110" s="143"/>
      <c r="W110" s="143"/>
      <c r="X110" s="143"/>
      <c r="Y110" s="143"/>
    </row>
    <row r="111" spans="1:25" s="143" customFormat="1" ht="15" customHeight="1">
      <c r="A111" s="407" t="s">
        <v>342</v>
      </c>
      <c r="B111" s="408">
        <f>B106+B107</f>
        <v>5936.788565807801</v>
      </c>
      <c r="C111" s="409">
        <f aca="true" t="shared" si="23" ref="C111:S111">C106+C107</f>
        <v>6066.897543294043</v>
      </c>
      <c r="D111" s="409">
        <f t="shared" si="23"/>
        <v>6431.28416913448</v>
      </c>
      <c r="E111" s="409">
        <f t="shared" si="23"/>
        <v>6756.605965955594</v>
      </c>
      <c r="F111" s="409">
        <f t="shared" si="23"/>
        <v>7173.076744648437</v>
      </c>
      <c r="G111" s="409">
        <f t="shared" si="23"/>
        <v>7630.6275793916075</v>
      </c>
      <c r="H111" s="409">
        <f t="shared" si="23"/>
        <v>8043.919612295645</v>
      </c>
      <c r="I111" s="409">
        <f t="shared" si="23"/>
        <v>8472.081435392047</v>
      </c>
      <c r="J111" s="409">
        <f t="shared" si="23"/>
        <v>8972.83555930265</v>
      </c>
      <c r="K111" s="409">
        <f t="shared" si="23"/>
        <v>9552.434476220638</v>
      </c>
      <c r="L111" s="410">
        <f t="shared" si="23"/>
        <v>10220.704836740935</v>
      </c>
      <c r="M111" s="408">
        <f t="shared" si="23"/>
        <v>11127.955982094332</v>
      </c>
      <c r="N111" s="410">
        <f t="shared" si="23"/>
        <v>12182.193556327327</v>
      </c>
      <c r="O111" s="408">
        <f t="shared" si="23"/>
        <v>13483.929559020942</v>
      </c>
      <c r="P111" s="409">
        <f t="shared" si="23"/>
        <v>15017.071811192272</v>
      </c>
      <c r="Q111" s="409">
        <f t="shared" si="23"/>
        <v>16844.44296415282</v>
      </c>
      <c r="R111" s="409">
        <f t="shared" si="23"/>
        <v>19055.541358185354</v>
      </c>
      <c r="S111" s="410">
        <f t="shared" si="23"/>
        <v>21781.61276812699</v>
      </c>
      <c r="T111" s="143"/>
      <c r="U111" s="143"/>
      <c r="V111" s="143"/>
      <c r="W111" s="143"/>
      <c r="X111" s="143"/>
      <c r="Y111" s="143"/>
    </row>
    <row r="112" spans="1:25" s="143" customFormat="1" ht="15" customHeight="1">
      <c r="A112" s="378" t="s">
        <v>343</v>
      </c>
      <c r="B112" s="195">
        <f>B111/'DATA MetaMetaverse'!F13</f>
        <v>0.03992341990362325</v>
      </c>
      <c r="C112" s="411">
        <f>C111/'DATA MetaMetaverse'!G13</f>
        <v>0.04046987643681844</v>
      </c>
      <c r="D112" s="411">
        <f>D111/'DATA MetaMetaverse'!H13</f>
        <v>0.04259054630834562</v>
      </c>
      <c r="E112" s="411">
        <f>E111/'DATA MetaMetaverse'!I13</f>
        <v>0.04414144394211708</v>
      </c>
      <c r="F112" s="411">
        <f>F111/'DATA MetaMetaverse'!J13</f>
        <v>0.04604111525943965</v>
      </c>
      <c r="G112" s="411">
        <f>G111/'DATA MetaMetaverse'!K13</f>
        <v>0.0476343775023388</v>
      </c>
      <c r="H112" s="411">
        <f>H111/'DATA MetaMetaverse'!L13</f>
        <v>0.0495547411087466</v>
      </c>
      <c r="I112" s="411">
        <f>I111/'DATA MetaMetaverse'!M13</f>
        <v>0.05152264688998416</v>
      </c>
      <c r="J112" s="411">
        <f>J111/'DATA MetaMetaverse'!N13</f>
        <v>0.05456796439568817</v>
      </c>
      <c r="K112" s="411">
        <f>K111/'DATA MetaMetaverse'!O13</f>
        <v>0.05809277356589192</v>
      </c>
      <c r="L112" s="412">
        <f>L111/'DATA MetaMetaverse'!P13</f>
        <v>0.06215683480924756</v>
      </c>
      <c r="M112" s="195">
        <f>M111/'DATA MetaMetaverse'!Q13</f>
        <v>0.06767424877168944</v>
      </c>
      <c r="N112" s="412">
        <f>N111/'DATA MetaMetaverse'!R13</f>
        <v>0.07408555521268408</v>
      </c>
      <c r="O112" s="195">
        <f>O111/'DATA MetaMetaverse'!S13</f>
        <v>0.082002014104425</v>
      </c>
      <c r="P112" s="411">
        <f>P111/'DATA MetaMetaverse'!T13</f>
        <v>0.09132576146133212</v>
      </c>
      <c r="Q112" s="411">
        <f>Q111/'DATA MetaMetaverse'!U13</f>
        <v>0.1024388508914708</v>
      </c>
      <c r="R112" s="411">
        <f>R111/'DATA MetaMetaverse'!V13</f>
        <v>0.11588556320927769</v>
      </c>
      <c r="S112" s="412">
        <f>S111/'DATA MetaMetaverse'!W13</f>
        <v>0.13246406469352418</v>
      </c>
      <c r="T112" s="143"/>
      <c r="U112" s="143"/>
      <c r="V112" s="143"/>
      <c r="W112" s="143"/>
      <c r="X112" s="143"/>
      <c r="Y112" s="143"/>
    </row>
    <row r="113" spans="1:25" s="143" customFormat="1" ht="15" customHeight="1">
      <c r="A113" s="413" t="s">
        <v>344</v>
      </c>
      <c r="B113" s="201">
        <f>'DATA MetaMetaverse'!F19*B103</f>
        <v>905.8521708143169</v>
      </c>
      <c r="C113" s="202">
        <f>'DATA MetaMetaverse'!G19*C103</f>
        <v>902.7285442964285</v>
      </c>
      <c r="D113" s="202">
        <f>'DATA MetaMetaverse'!H19*D103</f>
        <v>958.3721864524448</v>
      </c>
      <c r="E113" s="202">
        <f>'DATA MetaMetaverse'!I19*E103</f>
        <v>1003.8318305167795</v>
      </c>
      <c r="F113" s="202">
        <f>'DATA MetaMetaverse'!J19*F103</f>
        <v>1042.3430556202952</v>
      </c>
      <c r="G113" s="202">
        <f>'DATA MetaMetaverse'!K19*G103</f>
        <v>1105.49906143609</v>
      </c>
      <c r="H113" s="202">
        <f>'DATA MetaMetaverse'!L19*H103</f>
        <v>1158.7764578677982</v>
      </c>
      <c r="I113" s="202">
        <f>'DATA MetaMetaverse'!M19*I103</f>
        <v>1205.5685131944256</v>
      </c>
      <c r="J113" s="202">
        <f>'DATA MetaMetaverse'!N19*J103</f>
        <v>1275.982833030533</v>
      </c>
      <c r="K113" s="202">
        <f>'DATA MetaMetaverse'!O19*K103</f>
        <v>1335.5739274058128</v>
      </c>
      <c r="L113" s="259">
        <f>'DATA MetaMetaverse'!P19*L103</f>
        <v>1405.5108209172377</v>
      </c>
      <c r="M113" s="201">
        <f>'DATA MetaMetaverse'!Q19*M103</f>
        <v>1483.1158820660094</v>
      </c>
      <c r="N113" s="259">
        <f>'DATA MetaMetaverse'!R19*N103</f>
        <v>1571.1576741361423</v>
      </c>
      <c r="O113" s="201">
        <f>'DATA MetaMetaverse'!S19*O103</f>
        <v>1679.1247086887204</v>
      </c>
      <c r="P113" s="202">
        <f>'DATA MetaMetaverse'!T19*P103</f>
        <v>1802.6298800117384</v>
      </c>
      <c r="Q113" s="202">
        <f>'DATA MetaMetaverse'!U19*Q103</f>
        <v>1944.0713600240629</v>
      </c>
      <c r="R113" s="202">
        <f>'DATA MetaMetaverse'!V19*R103</f>
        <v>2106.3173063044246</v>
      </c>
      <c r="S113" s="259">
        <f>'DATA MetaMetaverse'!W19*S103</f>
        <v>2292.8145118686016</v>
      </c>
      <c r="T113" s="143"/>
      <c r="U113" s="143"/>
      <c r="V113" s="143"/>
      <c r="W113" s="143"/>
      <c r="X113" s="143"/>
      <c r="Y113" s="143"/>
    </row>
    <row r="114" spans="1:25" s="143" customFormat="1" ht="15" customHeight="1">
      <c r="A114" s="413" t="s">
        <v>345</v>
      </c>
      <c r="B114" s="201">
        <f>B25</f>
        <v>475.9553071458097</v>
      </c>
      <c r="C114" s="202">
        <f aca="true" t="shared" si="24" ref="C114:S114">C25</f>
        <v>497.8238809335922</v>
      </c>
      <c r="D114" s="202">
        <f t="shared" si="24"/>
        <v>524.7230288628889</v>
      </c>
      <c r="E114" s="202">
        <f t="shared" si="24"/>
        <v>554.7182315197635</v>
      </c>
      <c r="F114" s="202">
        <f t="shared" si="24"/>
        <v>596.1994743269064</v>
      </c>
      <c r="G114" s="202">
        <f t="shared" si="24"/>
        <v>638.013674571089</v>
      </c>
      <c r="H114" s="202">
        <f t="shared" si="24"/>
        <v>681.3533499042373</v>
      </c>
      <c r="I114" s="202">
        <f t="shared" si="24"/>
        <v>703.3757975523373</v>
      </c>
      <c r="J114" s="202">
        <f t="shared" si="24"/>
        <v>739.502796879327</v>
      </c>
      <c r="K114" s="202">
        <f t="shared" si="24"/>
        <v>779.8028153422214</v>
      </c>
      <c r="L114" s="259">
        <f t="shared" si="24"/>
        <v>824.9277995899013</v>
      </c>
      <c r="M114" s="201">
        <f t="shared" si="24"/>
        <v>879.9401429646479</v>
      </c>
      <c r="N114" s="259">
        <f t="shared" si="24"/>
        <v>944.6525128722271</v>
      </c>
      <c r="O114" s="201">
        <f t="shared" si="24"/>
        <v>1020.8734856865702</v>
      </c>
      <c r="P114" s="202">
        <f t="shared" si="24"/>
        <v>1115.5373254376468</v>
      </c>
      <c r="Q114" s="202">
        <f t="shared" si="24"/>
        <v>1237.685511240449</v>
      </c>
      <c r="R114" s="202">
        <f t="shared" si="24"/>
        <v>1402.098004400166</v>
      </c>
      <c r="S114" s="259">
        <f t="shared" si="24"/>
        <v>1633.1585921086287</v>
      </c>
      <c r="T114" s="143"/>
      <c r="U114" s="143"/>
      <c r="V114" s="143"/>
      <c r="W114" s="143"/>
      <c r="X114" s="143"/>
      <c r="Y114" s="143"/>
    </row>
    <row r="115" spans="1:19" ht="15" customHeight="1">
      <c r="A115" s="268" t="s">
        <v>346</v>
      </c>
      <c r="B115" s="404">
        <f>SUM(B113:B114)</f>
        <v>1381.8074779601266</v>
      </c>
      <c r="C115" s="405">
        <f aca="true" t="shared" si="25" ref="C115:R115">SUM(C113:C114)</f>
        <v>1400.5524252300206</v>
      </c>
      <c r="D115" s="405">
        <f t="shared" si="25"/>
        <v>1483.0952153153337</v>
      </c>
      <c r="E115" s="405">
        <f t="shared" si="25"/>
        <v>1558.550062036543</v>
      </c>
      <c r="F115" s="405">
        <f t="shared" si="25"/>
        <v>1638.5425299472017</v>
      </c>
      <c r="G115" s="405">
        <f t="shared" si="25"/>
        <v>1743.512736007179</v>
      </c>
      <c r="H115" s="405">
        <f t="shared" si="25"/>
        <v>1840.1298077720355</v>
      </c>
      <c r="I115" s="405">
        <f t="shared" si="25"/>
        <v>1908.9443107467628</v>
      </c>
      <c r="J115" s="405">
        <f t="shared" si="25"/>
        <v>2015.4856299098599</v>
      </c>
      <c r="K115" s="405">
        <f t="shared" si="25"/>
        <v>2115.3767427480343</v>
      </c>
      <c r="L115" s="406">
        <f t="shared" si="25"/>
        <v>2230.4386205071387</v>
      </c>
      <c r="M115" s="404">
        <f t="shared" si="25"/>
        <v>2363.056025030657</v>
      </c>
      <c r="N115" s="406">
        <f t="shared" si="25"/>
        <v>2515.810187008369</v>
      </c>
      <c r="O115" s="404">
        <f t="shared" si="25"/>
        <v>2699.9981943752905</v>
      </c>
      <c r="P115" s="405">
        <f t="shared" si="25"/>
        <v>2918.167205449385</v>
      </c>
      <c r="Q115" s="405">
        <f t="shared" si="25"/>
        <v>3181.7568712645116</v>
      </c>
      <c r="R115" s="405">
        <f t="shared" si="25"/>
        <v>3508.4153107045904</v>
      </c>
      <c r="S115" s="406">
        <f>SUM(S113:S114)</f>
        <v>3925.9731039772305</v>
      </c>
    </row>
    <row r="116" spans="1:25" s="143" customFormat="1" ht="15" customHeight="1">
      <c r="A116" s="378" t="s">
        <v>347</v>
      </c>
      <c r="B116" s="195">
        <f>B115/'DATA MetaMetaverse'!F16</f>
        <v>0.028736039517778644</v>
      </c>
      <c r="C116" s="411">
        <f>C115/'DATA MetaMetaverse'!G16</f>
        <v>0.028837484208514046</v>
      </c>
      <c r="D116" s="411">
        <f>D115/'DATA MetaMetaverse'!H16</f>
        <v>0.030234699728654134</v>
      </c>
      <c r="E116" s="411">
        <f>E115/'DATA MetaMetaverse'!I16</f>
        <v>0.031303387732486865</v>
      </c>
      <c r="F116" s="411">
        <f>F115/'DATA MetaMetaverse'!J16</f>
        <v>0.03226473707618042</v>
      </c>
      <c r="G116" s="411">
        <f>G115/'DATA MetaMetaverse'!K16</f>
        <v>0.03365854702716562</v>
      </c>
      <c r="H116" s="411">
        <f>H115/'DATA MetaMetaverse'!L16</f>
        <v>0.03492993260843718</v>
      </c>
      <c r="I116" s="411">
        <f>I115/'DATA MetaMetaverse'!M16</f>
        <v>0.0374302806028777</v>
      </c>
      <c r="J116" s="411">
        <f>J115/'DATA MetaMetaverse'!N16</f>
        <v>0.03951932607666392</v>
      </c>
      <c r="K116" s="411">
        <f>K115/'DATA MetaMetaverse'!O16</f>
        <v>0.042307534854960686</v>
      </c>
      <c r="L116" s="412">
        <f>L115/'DATA MetaMetaverse'!P16</f>
        <v>0.04646747126056539</v>
      </c>
      <c r="M116" s="195">
        <f>M115/'DATA MetaMetaverse'!Q16</f>
        <v>0.05137078315284037</v>
      </c>
      <c r="N116" s="412">
        <f>N115/'DATA MetaMetaverse'!R16</f>
        <v>0.05717750425019021</v>
      </c>
      <c r="O116" s="195">
        <f>O115/'DATA MetaMetaverse'!S16</f>
        <v>0.061363595326711144</v>
      </c>
      <c r="P116" s="411">
        <f>P115/'DATA MetaMetaverse'!T16</f>
        <v>0.06632198194203148</v>
      </c>
      <c r="Q116" s="411">
        <f>Q115/'DATA MetaMetaverse'!U16</f>
        <v>0.07231265616510253</v>
      </c>
      <c r="R116" s="411">
        <f>R115/'DATA MetaMetaverse'!V16</f>
        <v>0.07973671160692251</v>
      </c>
      <c r="S116" s="412">
        <f>S115/'DATA MetaMetaverse'!W16</f>
        <v>0.08922666145402797</v>
      </c>
      <c r="T116" s="143"/>
      <c r="U116" s="143"/>
      <c r="V116" s="143"/>
      <c r="W116" s="143"/>
      <c r="X116" s="143"/>
      <c r="Y116" s="143"/>
    </row>
    <row r="117" ht="15">
      <c r="A117" s="414"/>
    </row>
    <row r="118" spans="1:19" ht="15">
      <c r="A118" s="142" t="s">
        <v>348</v>
      </c>
      <c r="B118" s="142">
        <f>B114/(B114+B113)</f>
        <v>0.34444400883430726</v>
      </c>
      <c r="C118" s="142">
        <f aca="true" t="shared" si="26" ref="C118:S118">C114/(C114+C113)</f>
        <v>0.3554482302594505</v>
      </c>
      <c r="D118" s="142">
        <f t="shared" si="26"/>
        <v>0.35380265774191916</v>
      </c>
      <c r="E118" s="142">
        <f t="shared" si="26"/>
        <v>0.3559194183309828</v>
      </c>
      <c r="F118" s="142">
        <f t="shared" si="26"/>
        <v>0.3638596273397417</v>
      </c>
      <c r="G118" s="142">
        <f t="shared" si="26"/>
        <v>0.3659357694353326</v>
      </c>
      <c r="H118" s="142">
        <f t="shared" si="26"/>
        <v>0.37027461162057695</v>
      </c>
      <c r="I118" s="142">
        <f t="shared" si="26"/>
        <v>0.36846323572277634</v>
      </c>
      <c r="J118" s="142">
        <f t="shared" si="26"/>
        <v>0.36691047849961617</v>
      </c>
      <c r="K118" s="142">
        <f t="shared" si="26"/>
        <v>0.3686354300790877</v>
      </c>
      <c r="L118" s="142">
        <f t="shared" si="26"/>
        <v>0.3698500339822559</v>
      </c>
      <c r="M118" s="142">
        <f t="shared" si="26"/>
        <v>0.3723737963230186</v>
      </c>
      <c r="N118" s="142">
        <f t="shared" si="26"/>
        <v>0.37548640106094167</v>
      </c>
      <c r="O118" s="142">
        <f t="shared" si="26"/>
        <v>0.3781015438503928</v>
      </c>
      <c r="P118" s="142">
        <f t="shared" si="26"/>
        <v>0.38227327185176113</v>
      </c>
      <c r="Q118" s="142">
        <f t="shared" si="26"/>
        <v>0.3889943705059278</v>
      </c>
      <c r="R118" s="142">
        <f t="shared" si="26"/>
        <v>0.3996385490971377</v>
      </c>
      <c r="S118" s="142">
        <f t="shared" si="26"/>
        <v>0.4159882273401587</v>
      </c>
    </row>
    <row r="119" ht="15">
      <c r="H119" s="142"/>
    </row>
    <row r="120" spans="1:19" ht="15">
      <c r="A120" s="142" t="s">
        <v>349</v>
      </c>
      <c r="B120" s="142">
        <f>B107/B111</f>
        <v>0.26169584504410226</v>
      </c>
      <c r="C120" s="142">
        <f aca="true" t="shared" si="27" ref="C120:S120">C107/C111</f>
        <v>0.2682176438904385</v>
      </c>
      <c r="D120" s="142">
        <f t="shared" si="27"/>
        <v>0.26712835087703196</v>
      </c>
      <c r="E120" s="142">
        <f t="shared" si="27"/>
        <v>0.26932577097496496</v>
      </c>
      <c r="F120" s="142">
        <f t="shared" si="27"/>
        <v>0.2734337769368298</v>
      </c>
      <c r="G120" s="142">
        <f t="shared" si="27"/>
        <v>0.2756172084575567</v>
      </c>
      <c r="H120" s="142">
        <f t="shared" si="27"/>
        <v>0.2797190214975952</v>
      </c>
      <c r="I120" s="142">
        <f t="shared" si="27"/>
        <v>0.2764458845359847</v>
      </c>
      <c r="J120" s="142">
        <f t="shared" si="27"/>
        <v>0.27692330248729957</v>
      </c>
      <c r="K120" s="142">
        <f t="shared" si="27"/>
        <v>0.2768188024717723</v>
      </c>
      <c r="L120" s="142">
        <f t="shared" si="27"/>
        <v>0.27623138605307485</v>
      </c>
      <c r="M120" s="142">
        <f t="shared" si="27"/>
        <v>0.27302704952245854</v>
      </c>
      <c r="N120" s="142">
        <f t="shared" si="27"/>
        <v>0.26997175966886594</v>
      </c>
      <c r="O120" s="142">
        <f t="shared" si="27"/>
        <v>0.26575562277508014</v>
      </c>
      <c r="P120" s="142">
        <f t="shared" si="27"/>
        <v>0.2627339647726562</v>
      </c>
      <c r="Q120" s="142">
        <f t="shared" si="27"/>
        <v>0.26160757176417987</v>
      </c>
      <c r="R120" s="142">
        <f t="shared" si="27"/>
        <v>0.263347007044421</v>
      </c>
      <c r="S120" s="142">
        <f t="shared" si="27"/>
        <v>0.26925120339610975</v>
      </c>
    </row>
  </sheetData>
  <mergeCells count="1">
    <mergeCell ref="A98:S98"/>
  </mergeCells>
  <conditionalFormatting sqref="B32:S50">
    <cfRule type="expression" priority="10" dxfId="0">
      <formula>MOD(ROW(),2)</formula>
    </cfRule>
  </conditionalFormatting>
  <conditionalFormatting sqref="B57:S73">
    <cfRule type="expression" priority="9" dxfId="0">
      <formula>MOD(ROW(),2)</formula>
    </cfRule>
  </conditionalFormatting>
  <conditionalFormatting sqref="B78:S85">
    <cfRule type="expression" priority="8" dxfId="0">
      <formula>MOD(ROW(),2)</formula>
    </cfRule>
  </conditionalFormatting>
  <conditionalFormatting sqref="B88:S94">
    <cfRule type="expression" priority="7" dxfId="0">
      <formula>MOD(ROW(),2)</formula>
    </cfRule>
  </conditionalFormatting>
  <conditionalFormatting sqref="B100:S108">
    <cfRule type="expression" priority="3" dxfId="0">
      <formula>MOD(ROW(),2)</formula>
    </cfRule>
  </conditionalFormatting>
  <conditionalFormatting sqref="B113:S114">
    <cfRule type="expression" priority="2" dxfId="0">
      <formula>MOD(ROW(),2)</formula>
    </cfRule>
  </conditionalFormatting>
  <conditionalFormatting sqref="B6:S24">
    <cfRule type="expression" priority="1" dxfId="0">
      <formula>MOD(ROW(),2)</formula>
    </cfRule>
  </conditionalFormatting>
  <printOptions/>
  <pageMargins left="0.7" right="0.7" top="0.75" bottom="0.75" header="0.3" footer="0.3"/>
  <pageSetup horizontalDpi="600" verticalDpi="600" orientation="portrait" paperSize="9" copies="1"/>
  <extLst>
    <ext xmlns:x14="http://schemas.microsoft.com/office/spreadsheetml/2009/9/main" uri="{78C0D931-6437-407d-A8EE-F0AAD7539E65}">
      <x14:conditionalFormattings>
        <x14:conditionalFormatting xmlns:xm="http://schemas.microsoft.com/office/excel/2006/main">
          <x14:cfRule type="expression" priority="10">
            <xm:f>MOD(ROW(),2)</xm:f>
            <x14:dxf>
              <fill>
                <patternFill patternType="solid">
                  <fgColor theme="5" tint="0.5999600291252136"/>
                  <bgColor theme="5" tint="0.5999600291252136"/>
                </patternFill>
              </fill>
            </x14:dxf>
          </x14:cfRule>
          <xm:sqref>B32:S50</xm:sqref>
        </x14:conditionalFormatting>
        <x14:conditionalFormatting xmlns:xm="http://schemas.microsoft.com/office/excel/2006/main">
          <x14:cfRule type="expression" priority="9">
            <xm:f>MOD(ROW(),2)</xm:f>
            <x14:dxf>
              <fill>
                <patternFill patternType="solid">
                  <fgColor theme="5" tint="0.5999600291252136"/>
                  <bgColor theme="5" tint="0.5999600291252136"/>
                </patternFill>
              </fill>
            </x14:dxf>
          </x14:cfRule>
          <xm:sqref>B57:S73</xm:sqref>
        </x14:conditionalFormatting>
        <x14:conditionalFormatting xmlns:xm="http://schemas.microsoft.com/office/excel/2006/main">
          <x14:cfRule type="expression" priority="8">
            <xm:f>MOD(ROW(),2)</xm:f>
            <x14:dxf>
              <fill>
                <patternFill patternType="solid">
                  <fgColor theme="5" tint="0.5999600291252136"/>
                  <bgColor theme="5" tint="0.5999600291252136"/>
                </patternFill>
              </fill>
            </x14:dxf>
          </x14:cfRule>
          <xm:sqref>B78:S85</xm:sqref>
        </x14:conditionalFormatting>
        <x14:conditionalFormatting xmlns:xm="http://schemas.microsoft.com/office/excel/2006/main">
          <x14:cfRule type="expression" priority="7">
            <xm:f>MOD(ROW(),2)</xm:f>
            <x14:dxf>
              <fill>
                <patternFill patternType="solid">
                  <fgColor theme="5" tint="0.5999600291252136"/>
                  <bgColor theme="5" tint="0.5999600291252136"/>
                </patternFill>
              </fill>
            </x14:dxf>
          </x14:cfRule>
          <xm:sqref>B88:S94</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B100:S108</xm:sqref>
        </x14:conditionalFormatting>
        <x14:conditionalFormatting xmlns:xm="http://schemas.microsoft.com/office/excel/2006/main">
          <x14:cfRule type="expression" priority="2">
            <xm:f>MOD(ROW(),2)</xm:f>
            <x14:dxf>
              <fill>
                <patternFill patternType="solid">
                  <fgColor theme="5" tint="0.5999600291252136"/>
                  <bgColor theme="5" tint="0.5999600291252136"/>
                </patternFill>
              </fill>
            </x14:dxf>
          </x14:cfRule>
          <xm:sqref>B113:S114</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B6:S24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5"/>
  </sheetPr>
  <dimension ref="A2:AA424"/>
  <sheetViews>
    <sheetView zoomScale="50" zoomScaleNormal="50" workbookViewId="0" topLeftCell="A128">
      <selection activeCell="S149" sqref="S149"/>
    </sheetView>
  </sheetViews>
  <sheetFormatPr defaultColWidth="11.421875" defaultRowHeight="15"/>
  <cols>
    <col min="1" max="1" width="48.8515625" style="143" customWidth="1"/>
    <col min="2" max="5" width="8.57421875" style="143" customWidth="1"/>
    <col min="6" max="12" width="10.57421875" style="143" customWidth="1"/>
    <col min="13" max="16" width="10.57421875" style="142" customWidth="1"/>
    <col min="17" max="23" width="8.57421875" style="142" customWidth="1"/>
    <col min="24" max="24" width="18.57421875" style="142" customWidth="1"/>
    <col min="25" max="25" width="16.28125" style="142" customWidth="1"/>
    <col min="26" max="27" width="15.421875" style="142" customWidth="1"/>
    <col min="28" max="28" width="26.140625" style="142" customWidth="1"/>
    <col min="29" max="16384" width="10.8515625" style="142" customWidth="1"/>
  </cols>
  <sheetData>
    <row r="1" ht="15" customHeight="1"/>
    <row r="2" spans="1:12" ht="15" customHeight="1">
      <c r="A2" s="150" t="s">
        <v>364</v>
      </c>
      <c r="B2" s="358"/>
      <c r="C2" s="358"/>
      <c r="D2" s="358"/>
      <c r="E2" s="358"/>
      <c r="F2" s="358"/>
      <c r="H2" s="142"/>
      <c r="I2" s="142"/>
      <c r="J2" s="142"/>
      <c r="K2" s="142"/>
      <c r="L2" s="142"/>
    </row>
    <row r="3" spans="1:12" ht="15" customHeight="1">
      <c r="A3" s="358"/>
      <c r="B3" s="358"/>
      <c r="C3" s="358"/>
      <c r="D3" s="358"/>
      <c r="E3" s="358"/>
      <c r="F3" s="358"/>
      <c r="H3" s="142"/>
      <c r="I3" s="142"/>
      <c r="J3" s="142"/>
      <c r="K3" s="142"/>
      <c r="L3" s="142"/>
    </row>
    <row r="4" ht="15" customHeight="1"/>
    <row r="5" spans="1:23" ht="14.5">
      <c r="A5" s="151" t="s">
        <v>45</v>
      </c>
      <c r="B5" s="236"/>
      <c r="C5" s="236"/>
      <c r="D5" s="236"/>
      <c r="E5" s="236"/>
      <c r="M5" s="143"/>
      <c r="N5" s="143"/>
      <c r="O5" s="143"/>
      <c r="P5" s="143"/>
      <c r="Q5" s="143"/>
      <c r="R5" s="143"/>
      <c r="S5" s="143"/>
      <c r="T5" s="143"/>
      <c r="U5" s="143"/>
      <c r="V5" s="143"/>
      <c r="W5" s="143"/>
    </row>
    <row r="6" ht="15" customHeight="1"/>
    <row r="7" spans="1:24" ht="30" customHeight="1">
      <c r="A7" s="151" t="s">
        <v>46</v>
      </c>
      <c r="B7" s="152"/>
      <c r="C7" s="152"/>
      <c r="D7" s="152"/>
      <c r="E7" s="152" t="s">
        <v>47</v>
      </c>
      <c r="F7" s="153">
        <v>2013</v>
      </c>
      <c r="G7" s="152">
        <v>2014</v>
      </c>
      <c r="H7" s="152">
        <v>2015</v>
      </c>
      <c r="I7" s="152">
        <v>2016</v>
      </c>
      <c r="J7" s="152">
        <v>2017</v>
      </c>
      <c r="K7" s="152">
        <v>2018</v>
      </c>
      <c r="L7" s="152">
        <v>2019</v>
      </c>
      <c r="M7" s="152">
        <v>2020</v>
      </c>
      <c r="N7" s="152">
        <v>2021</v>
      </c>
      <c r="O7" s="152">
        <v>2022</v>
      </c>
      <c r="P7" s="154">
        <v>2023</v>
      </c>
      <c r="Q7" s="153">
        <v>2024</v>
      </c>
      <c r="R7" s="154">
        <v>2025</v>
      </c>
      <c r="S7" s="269">
        <v>2026</v>
      </c>
      <c r="T7" s="271">
        <v>2027</v>
      </c>
      <c r="U7" s="271">
        <v>2028</v>
      </c>
      <c r="V7" s="271">
        <v>2029</v>
      </c>
      <c r="W7" s="270">
        <v>2030</v>
      </c>
      <c r="X7" s="142" t="s">
        <v>48</v>
      </c>
    </row>
    <row r="8" spans="1:24" ht="15" customHeight="1">
      <c r="A8" s="155" t="s">
        <v>49</v>
      </c>
      <c r="B8" s="156"/>
      <c r="C8" s="156" t="s">
        <v>365</v>
      </c>
      <c r="D8" s="157"/>
      <c r="E8" s="157"/>
      <c r="F8" s="159">
        <v>19488</v>
      </c>
      <c r="G8" s="160">
        <v>19880</v>
      </c>
      <c r="H8" s="160">
        <v>20200</v>
      </c>
      <c r="I8" s="160">
        <v>20829</v>
      </c>
      <c r="J8" s="160">
        <v>21372</v>
      </c>
      <c r="K8" s="160">
        <f>J8*1.021</f>
        <v>21820.811999999998</v>
      </c>
      <c r="L8" s="160">
        <f aca="true" t="shared" si="0" ref="L8:R8">K8*1.021</f>
        <v>22279.049051999995</v>
      </c>
      <c r="M8" s="160">
        <f t="shared" si="0"/>
        <v>22746.909082091992</v>
      </c>
      <c r="N8" s="160">
        <f t="shared" si="0"/>
        <v>23224.594172815923</v>
      </c>
      <c r="O8" s="160">
        <f t="shared" si="0"/>
        <v>23712.310650445055</v>
      </c>
      <c r="P8" s="161">
        <f t="shared" si="0"/>
        <v>24210.2691741044</v>
      </c>
      <c r="Q8" s="159">
        <f t="shared" si="0"/>
        <v>24718.68482676059</v>
      </c>
      <c r="R8" s="160">
        <f t="shared" si="0"/>
        <v>25237.77720812256</v>
      </c>
      <c r="S8" s="162">
        <f>R8*1.021</f>
        <v>25767.77052949313</v>
      </c>
      <c r="T8" s="163">
        <f aca="true" t="shared" si="1" ref="T8:W8">S8*1.021</f>
        <v>26308.893710612483</v>
      </c>
      <c r="U8" s="163">
        <f t="shared" si="1"/>
        <v>26861.380478535342</v>
      </c>
      <c r="V8" s="163">
        <f t="shared" si="1"/>
        <v>27425.469468584583</v>
      </c>
      <c r="W8" s="164">
        <f t="shared" si="1"/>
        <v>28001.404327424858</v>
      </c>
      <c r="X8" s="142" t="s">
        <v>51</v>
      </c>
    </row>
    <row r="9" spans="1:24" ht="15" customHeight="1">
      <c r="A9" s="155" t="s">
        <v>52</v>
      </c>
      <c r="B9" s="157"/>
      <c r="C9" s="157"/>
      <c r="D9" s="157"/>
      <c r="E9" s="157"/>
      <c r="F9" s="159">
        <v>23418</v>
      </c>
      <c r="G9" s="160">
        <v>23856</v>
      </c>
      <c r="H9" s="160">
        <v>24313</v>
      </c>
      <c r="I9" s="160">
        <v>24986</v>
      </c>
      <c r="J9" s="160">
        <v>25606</v>
      </c>
      <c r="K9" s="160"/>
      <c r="L9" s="160"/>
      <c r="M9" s="160"/>
      <c r="N9" s="160"/>
      <c r="O9" s="160"/>
      <c r="P9" s="161"/>
      <c r="Q9" s="159"/>
      <c r="R9" s="160"/>
      <c r="S9" s="159"/>
      <c r="T9" s="160"/>
      <c r="U9" s="160"/>
      <c r="V9" s="160"/>
      <c r="W9" s="161"/>
      <c r="X9" s="142"/>
    </row>
    <row r="10" spans="1:24" ht="15" customHeight="1">
      <c r="A10" s="155" t="s">
        <v>53</v>
      </c>
      <c r="B10" s="157"/>
      <c r="C10" s="157"/>
      <c r="D10" s="157"/>
      <c r="E10" s="157"/>
      <c r="F10" s="159"/>
      <c r="G10" s="160">
        <f>5158*11.3</f>
        <v>58285.4</v>
      </c>
      <c r="H10" s="160"/>
      <c r="I10" s="160"/>
      <c r="J10" s="160"/>
      <c r="K10" s="160"/>
      <c r="L10" s="160"/>
      <c r="M10" s="160">
        <f>5453*11.3</f>
        <v>61618.9</v>
      </c>
      <c r="N10" s="160"/>
      <c r="O10" s="160"/>
      <c r="P10" s="161"/>
      <c r="Q10" s="159"/>
      <c r="R10" s="160"/>
      <c r="S10" s="159"/>
      <c r="T10" s="160"/>
      <c r="U10" s="160"/>
      <c r="V10" s="160"/>
      <c r="W10" s="161"/>
      <c r="X10" s="142"/>
    </row>
    <row r="11" spans="1:24" ht="15" customHeight="1">
      <c r="A11" s="155" t="s">
        <v>54</v>
      </c>
      <c r="B11" s="157"/>
      <c r="C11" s="157"/>
      <c r="D11" s="157"/>
      <c r="E11" s="157"/>
      <c r="F11" s="165"/>
      <c r="G11" s="166">
        <f>G10/G8</f>
        <v>2.9318611670020123</v>
      </c>
      <c r="H11" s="166"/>
      <c r="I11" s="166"/>
      <c r="J11" s="166"/>
      <c r="K11" s="166"/>
      <c r="L11" s="166"/>
      <c r="M11" s="166">
        <f>M10/M8</f>
        <v>2.7088911191239977</v>
      </c>
      <c r="N11" s="166"/>
      <c r="O11" s="166"/>
      <c r="P11" s="167"/>
      <c r="Q11" s="165"/>
      <c r="R11" s="166"/>
      <c r="S11" s="165"/>
      <c r="T11" s="166"/>
      <c r="U11" s="166"/>
      <c r="V11" s="166"/>
      <c r="W11" s="167"/>
      <c r="X11" s="142"/>
    </row>
    <row r="12" spans="1:24" ht="15" customHeight="1">
      <c r="A12" s="155" t="s">
        <v>55</v>
      </c>
      <c r="B12" s="157"/>
      <c r="C12" s="156" t="s">
        <v>365</v>
      </c>
      <c r="D12" s="157"/>
      <c r="E12" s="157"/>
      <c r="F12" s="159">
        <v>534.9079463838059</v>
      </c>
      <c r="G12" s="160">
        <v>539.2497921747522</v>
      </c>
      <c r="H12" s="160">
        <v>543.1748996320798</v>
      </c>
      <c r="I12" s="160">
        <v>550.6013359894824</v>
      </c>
      <c r="J12" s="160">
        <v>560.4215751046033</v>
      </c>
      <c r="K12" s="160">
        <v>576.2288096227534</v>
      </c>
      <c r="L12" s="160">
        <v>583.8989769043484</v>
      </c>
      <c r="M12" s="160">
        <f>L12*1.013</f>
        <v>591.4896636041049</v>
      </c>
      <c r="N12" s="168">
        <v>591.4896636041049</v>
      </c>
      <c r="O12" s="168">
        <v>591.4896636041049</v>
      </c>
      <c r="P12" s="169">
        <v>591.4896636041049</v>
      </c>
      <c r="Q12" s="170">
        <v>591.4896636041049</v>
      </c>
      <c r="R12" s="168">
        <v>591.4896636041049</v>
      </c>
      <c r="S12" s="170">
        <f aca="true" t="shared" si="2" ref="S12:S13">R12</f>
        <v>591.4896636041049</v>
      </c>
      <c r="T12" s="168">
        <f aca="true" t="shared" si="3" ref="T12:W13">S12</f>
        <v>591.4896636041049</v>
      </c>
      <c r="U12" s="168">
        <f t="shared" si="3"/>
        <v>591.4896636041049</v>
      </c>
      <c r="V12" s="168">
        <f t="shared" si="3"/>
        <v>591.4896636041049</v>
      </c>
      <c r="W12" s="169">
        <f t="shared" si="3"/>
        <v>591.4896636041049</v>
      </c>
      <c r="X12" s="142" t="s">
        <v>351</v>
      </c>
    </row>
    <row r="13" spans="1:23" ht="15" customHeight="1">
      <c r="A13" s="155" t="s">
        <v>58</v>
      </c>
      <c r="B13" s="157"/>
      <c r="C13" s="156" t="s">
        <v>365</v>
      </c>
      <c r="D13" s="157"/>
      <c r="E13" s="157"/>
      <c r="F13" s="159">
        <f>278*F12</f>
        <v>148704.40909469803</v>
      </c>
      <c r="G13" s="160">
        <f aca="true" t="shared" si="4" ref="G13:R13">278*G12</f>
        <v>149911.44222458111</v>
      </c>
      <c r="H13" s="160">
        <f t="shared" si="4"/>
        <v>151002.62209771818</v>
      </c>
      <c r="I13" s="160">
        <f t="shared" si="4"/>
        <v>153067.1714050761</v>
      </c>
      <c r="J13" s="160">
        <f t="shared" si="4"/>
        <v>155797.19787907973</v>
      </c>
      <c r="K13" s="160">
        <f t="shared" si="4"/>
        <v>160191.60907512545</v>
      </c>
      <c r="L13" s="160">
        <f t="shared" si="4"/>
        <v>162323.91557940884</v>
      </c>
      <c r="M13" s="160">
        <f t="shared" si="4"/>
        <v>164434.12648194114</v>
      </c>
      <c r="N13" s="160">
        <f t="shared" si="4"/>
        <v>164434.12648194114</v>
      </c>
      <c r="O13" s="160">
        <f t="shared" si="4"/>
        <v>164434.12648194114</v>
      </c>
      <c r="P13" s="161">
        <f t="shared" si="4"/>
        <v>164434.12648194114</v>
      </c>
      <c r="Q13" s="159">
        <f t="shared" si="4"/>
        <v>164434.12648194114</v>
      </c>
      <c r="R13" s="160">
        <f t="shared" si="4"/>
        <v>164434.12648194114</v>
      </c>
      <c r="S13" s="159">
        <f t="shared" si="2"/>
        <v>164434.12648194114</v>
      </c>
      <c r="T13" s="160">
        <f t="shared" si="3"/>
        <v>164434.12648194114</v>
      </c>
      <c r="U13" s="160">
        <f t="shared" si="3"/>
        <v>164434.12648194114</v>
      </c>
      <c r="V13" s="160">
        <f t="shared" si="3"/>
        <v>164434.12648194114</v>
      </c>
      <c r="W13" s="161">
        <f t="shared" si="3"/>
        <v>164434.12648194114</v>
      </c>
    </row>
    <row r="14" spans="1:24" ht="15" customHeight="1">
      <c r="A14" s="155" t="s">
        <v>59</v>
      </c>
      <c r="B14" s="157"/>
      <c r="C14" s="156" t="s">
        <v>365</v>
      </c>
      <c r="D14" s="157"/>
      <c r="E14" s="157"/>
      <c r="F14" s="159">
        <v>9214</v>
      </c>
      <c r="G14" s="160">
        <v>9315</v>
      </c>
      <c r="H14" s="160">
        <v>9414</v>
      </c>
      <c r="I14" s="160">
        <v>9534</v>
      </c>
      <c r="J14" s="160">
        <v>9717</v>
      </c>
      <c r="K14" s="160">
        <f>J14*1.013</f>
        <v>9843.321</v>
      </c>
      <c r="L14" s="160">
        <f aca="true" t="shared" si="5" ref="L14:R14">K14*1.013</f>
        <v>9971.284172999998</v>
      </c>
      <c r="M14" s="160">
        <f t="shared" si="5"/>
        <v>10100.910867248997</v>
      </c>
      <c r="N14" s="160">
        <f t="shared" si="5"/>
        <v>10232.222708523232</v>
      </c>
      <c r="O14" s="160">
        <f t="shared" si="5"/>
        <v>10365.241603734032</v>
      </c>
      <c r="P14" s="161">
        <f t="shared" si="5"/>
        <v>10499.989744582574</v>
      </c>
      <c r="Q14" s="159">
        <f t="shared" si="5"/>
        <v>10636.489611262146</v>
      </c>
      <c r="R14" s="160">
        <f t="shared" si="5"/>
        <v>10774.763976208553</v>
      </c>
      <c r="S14" s="159">
        <f>R14*1.013</f>
        <v>10914.835907899263</v>
      </c>
      <c r="T14" s="160">
        <f aca="true" t="shared" si="6" ref="T14:W14">S14*1.013</f>
        <v>11056.728774701953</v>
      </c>
      <c r="U14" s="160">
        <f t="shared" si="6"/>
        <v>11200.466248773077</v>
      </c>
      <c r="V14" s="160">
        <f t="shared" si="6"/>
        <v>11346.072310007126</v>
      </c>
      <c r="W14" s="161">
        <f t="shared" si="6"/>
        <v>11493.571250037217</v>
      </c>
      <c r="X14" s="142" t="s">
        <v>60</v>
      </c>
    </row>
    <row r="15" spans="1:23" ht="15" customHeight="1">
      <c r="A15" s="155" t="s">
        <v>61</v>
      </c>
      <c r="B15" s="157"/>
      <c r="C15" s="156" t="s">
        <v>365</v>
      </c>
      <c r="D15" s="157"/>
      <c r="E15" s="157"/>
      <c r="F15" s="159">
        <f>11.63*F14</f>
        <v>107158.82</v>
      </c>
      <c r="G15" s="160">
        <f aca="true" t="shared" si="7" ref="G15:R15">11.63*G14</f>
        <v>108333.45000000001</v>
      </c>
      <c r="H15" s="160">
        <f t="shared" si="7"/>
        <v>109484.82</v>
      </c>
      <c r="I15" s="160">
        <f t="shared" si="7"/>
        <v>110880.42000000001</v>
      </c>
      <c r="J15" s="160">
        <f t="shared" si="7"/>
        <v>113008.71</v>
      </c>
      <c r="K15" s="160">
        <f t="shared" si="7"/>
        <v>114477.82323000001</v>
      </c>
      <c r="L15" s="160">
        <f t="shared" si="7"/>
        <v>115966.03493198998</v>
      </c>
      <c r="M15" s="160">
        <f t="shared" si="7"/>
        <v>117473.59338610584</v>
      </c>
      <c r="N15" s="160">
        <f t="shared" si="7"/>
        <v>119000.7501001252</v>
      </c>
      <c r="O15" s="160">
        <f t="shared" si="7"/>
        <v>120547.7598514268</v>
      </c>
      <c r="P15" s="161">
        <f t="shared" si="7"/>
        <v>122114.88072949534</v>
      </c>
      <c r="Q15" s="159">
        <f t="shared" si="7"/>
        <v>123702.37417897877</v>
      </c>
      <c r="R15" s="160">
        <f t="shared" si="7"/>
        <v>125310.50504330547</v>
      </c>
      <c r="S15" s="159">
        <f>R15*11.63</f>
        <v>1457361.1736536426</v>
      </c>
      <c r="T15" s="160">
        <f aca="true" t="shared" si="8" ref="T15:W15">S15*11.63</f>
        <v>16949110.449591864</v>
      </c>
      <c r="U15" s="160">
        <f t="shared" si="8"/>
        <v>197118154.5287534</v>
      </c>
      <c r="V15" s="160">
        <f t="shared" si="8"/>
        <v>2292484137.169402</v>
      </c>
      <c r="W15" s="161">
        <f t="shared" si="8"/>
        <v>26661590515.280148</v>
      </c>
    </row>
    <row r="16" spans="1:24" ht="15" customHeight="1">
      <c r="A16" s="155" t="s">
        <v>62</v>
      </c>
      <c r="B16" s="157"/>
      <c r="C16" s="156" t="s">
        <v>365</v>
      </c>
      <c r="D16" s="157"/>
      <c r="E16" s="157"/>
      <c r="F16" s="159">
        <f>G16/1.01</f>
        <v>48086.21860034744</v>
      </c>
      <c r="G16" s="160">
        <f>H16/1.01</f>
        <v>48567.08078635092</v>
      </c>
      <c r="H16" s="160">
        <f>I16/1.015</f>
        <v>49052.75159421443</v>
      </c>
      <c r="I16" s="160">
        <f>J16/1.02</f>
        <v>49788.54286812764</v>
      </c>
      <c r="J16" s="160">
        <f>K16/1.02</f>
        <v>50784.313725490196</v>
      </c>
      <c r="K16" s="171">
        <v>51800</v>
      </c>
      <c r="L16" s="160">
        <f>K16*1.017</f>
        <v>52680.6</v>
      </c>
      <c r="M16" s="171">
        <v>51000</v>
      </c>
      <c r="N16" s="168">
        <v>51000</v>
      </c>
      <c r="O16" s="168">
        <v>50000</v>
      </c>
      <c r="P16" s="169">
        <v>48000</v>
      </c>
      <c r="Q16" s="170">
        <v>46000</v>
      </c>
      <c r="R16" s="168">
        <v>44000</v>
      </c>
      <c r="S16" s="170">
        <f>R16</f>
        <v>44000</v>
      </c>
      <c r="T16" s="168">
        <f>S16</f>
        <v>44000</v>
      </c>
      <c r="U16" s="168">
        <f aca="true" t="shared" si="9" ref="U16:W16">T16</f>
        <v>44000</v>
      </c>
      <c r="V16" s="168">
        <f t="shared" si="9"/>
        <v>44000</v>
      </c>
      <c r="W16" s="169">
        <f t="shared" si="9"/>
        <v>44000</v>
      </c>
      <c r="X16" s="142" t="s">
        <v>63</v>
      </c>
    </row>
    <row r="17" spans="1:24" ht="15" customHeight="1">
      <c r="A17" s="155" t="s">
        <v>64</v>
      </c>
      <c r="B17" s="157"/>
      <c r="C17" s="156" t="s">
        <v>365</v>
      </c>
      <c r="D17" s="157"/>
      <c r="E17" s="157"/>
      <c r="F17" s="159">
        <v>32795.55410647285</v>
      </c>
      <c r="G17" s="160">
        <v>32804.71869141038</v>
      </c>
      <c r="H17" s="160">
        <v>32787.19767306459</v>
      </c>
      <c r="I17" s="160">
        <v>32936.06603613734</v>
      </c>
      <c r="J17" s="160">
        <v>33279.49133386669</v>
      </c>
      <c r="K17" s="171">
        <v>34007.8910352292</v>
      </c>
      <c r="L17" s="160">
        <v>34169.00078208068</v>
      </c>
      <c r="M17" s="171">
        <f>L17*1.01</f>
        <v>34510.690789901484</v>
      </c>
      <c r="N17" s="168">
        <f>M17</f>
        <v>34510.690789901484</v>
      </c>
      <c r="O17" s="168">
        <f>N17*0.98</f>
        <v>33820.476974103454</v>
      </c>
      <c r="P17" s="169">
        <f>O17*0.96</f>
        <v>32467.657895139317</v>
      </c>
      <c r="Q17" s="170">
        <f aca="true" t="shared" si="10" ref="Q17:R17">P17*0.96</f>
        <v>31168.95157933374</v>
      </c>
      <c r="R17" s="168">
        <f t="shared" si="10"/>
        <v>29922.19351616039</v>
      </c>
      <c r="S17" s="170">
        <f>R17*0.96</f>
        <v>28725.305775513974</v>
      </c>
      <c r="T17" s="168">
        <f aca="true" t="shared" si="11" ref="T17:W17">S17*0.96</f>
        <v>27576.293544493416</v>
      </c>
      <c r="U17" s="168">
        <f t="shared" si="11"/>
        <v>26473.241802713677</v>
      </c>
      <c r="V17" s="168">
        <f t="shared" si="11"/>
        <v>25414.31213060513</v>
      </c>
      <c r="W17" s="169">
        <f t="shared" si="11"/>
        <v>24397.739645380923</v>
      </c>
      <c r="X17" s="142"/>
    </row>
    <row r="18" spans="1:24" ht="15" customHeight="1">
      <c r="A18" s="155" t="s">
        <v>66</v>
      </c>
      <c r="B18" s="157"/>
      <c r="C18" s="156"/>
      <c r="D18" s="157"/>
      <c r="E18" s="157"/>
      <c r="F18" s="172">
        <f>F17/F13</f>
        <v>0.2205419079779132</v>
      </c>
      <c r="G18" s="173">
        <f aca="true" t="shared" si="12" ref="G18:Q18">G17/G13</f>
        <v>0.218827317012039</v>
      </c>
      <c r="H18" s="173">
        <f t="shared" si="12"/>
        <v>0.2171299889868604</v>
      </c>
      <c r="I18" s="173">
        <f t="shared" si="12"/>
        <v>0.21517393791105943</v>
      </c>
      <c r="J18" s="173">
        <f t="shared" si="12"/>
        <v>0.2136077656524747</v>
      </c>
      <c r="K18" s="174">
        <f t="shared" si="12"/>
        <v>0.2122950835663336</v>
      </c>
      <c r="L18" s="173">
        <f t="shared" si="12"/>
        <v>0.21049886986840954</v>
      </c>
      <c r="M18" s="174">
        <f t="shared" si="12"/>
        <v>0.2098754773613955</v>
      </c>
      <c r="N18" s="175">
        <f t="shared" si="12"/>
        <v>0.2098754773613955</v>
      </c>
      <c r="O18" s="175">
        <f t="shared" si="12"/>
        <v>0.20567796781416758</v>
      </c>
      <c r="P18" s="176">
        <f t="shared" si="12"/>
        <v>0.1974508491016009</v>
      </c>
      <c r="Q18" s="177">
        <f t="shared" si="12"/>
        <v>0.18955281513753686</v>
      </c>
      <c r="R18" s="175">
        <f>R17/R13</f>
        <v>0.18197070253203537</v>
      </c>
      <c r="S18" s="177">
        <f>S17/S13</f>
        <v>0.17469187443075396</v>
      </c>
      <c r="T18" s="175">
        <f aca="true" t="shared" si="13" ref="T18:W18">T17/T13</f>
        <v>0.1677041994535238</v>
      </c>
      <c r="U18" s="175">
        <f t="shared" si="13"/>
        <v>0.16099603147538283</v>
      </c>
      <c r="V18" s="175">
        <f t="shared" si="13"/>
        <v>0.15455619021636752</v>
      </c>
      <c r="W18" s="176">
        <f t="shared" si="13"/>
        <v>0.1483739426077128</v>
      </c>
      <c r="X18" s="142"/>
    </row>
    <row r="19" spans="1:24" ht="15" customHeight="1">
      <c r="A19" s="178" t="s">
        <v>67</v>
      </c>
      <c r="B19" s="179"/>
      <c r="C19" s="156"/>
      <c r="D19" s="156"/>
      <c r="E19" s="443">
        <f>'Update Scenarios'!D28</f>
        <v>-0.04</v>
      </c>
      <c r="F19" s="181">
        <v>0.62</v>
      </c>
      <c r="G19" s="182">
        <v>0.61</v>
      </c>
      <c r="H19" s="182">
        <v>0.61</v>
      </c>
      <c r="I19" s="182">
        <v>0.61</v>
      </c>
      <c r="J19" s="182">
        <v>0.6</v>
      </c>
      <c r="K19" s="183">
        <v>0.6</v>
      </c>
      <c r="L19" s="182">
        <v>0.6</v>
      </c>
      <c r="M19" s="183">
        <v>0.59</v>
      </c>
      <c r="N19" s="184">
        <v>0.59</v>
      </c>
      <c r="O19" s="184">
        <v>0.58</v>
      </c>
      <c r="P19" s="185">
        <v>0.57</v>
      </c>
      <c r="Q19" s="186">
        <v>0.55</v>
      </c>
      <c r="R19" s="184">
        <v>0.53</v>
      </c>
      <c r="S19" s="186">
        <f>R19*(1+$E19)</f>
        <v>0.5088</v>
      </c>
      <c r="T19" s="184">
        <f aca="true" t="shared" si="14" ref="T19:W25">S19*(1+$E19)</f>
        <v>0.488448</v>
      </c>
      <c r="U19" s="184">
        <f t="shared" si="14"/>
        <v>0.46891007999999995</v>
      </c>
      <c r="V19" s="184">
        <f t="shared" si="14"/>
        <v>0.45015367679999996</v>
      </c>
      <c r="W19" s="185">
        <f t="shared" si="14"/>
        <v>0.43214752972799997</v>
      </c>
      <c r="X19" s="236"/>
    </row>
    <row r="20" ht="15" customHeight="1"/>
    <row r="21" ht="15" customHeight="1"/>
    <row r="22" spans="1:5" ht="14.5">
      <c r="A22" s="151" t="s">
        <v>357</v>
      </c>
      <c r="B22" s="236"/>
      <c r="C22" s="236"/>
      <c r="D22" s="236"/>
      <c r="E22" s="236"/>
    </row>
    <row r="23" ht="15" customHeight="1"/>
    <row r="24" spans="1:23" ht="30" customHeight="1">
      <c r="A24" s="151" t="s">
        <v>69</v>
      </c>
      <c r="B24" s="153" t="s">
        <v>70</v>
      </c>
      <c r="C24" s="154" t="s">
        <v>366</v>
      </c>
      <c r="D24" s="152" t="s">
        <v>72</v>
      </c>
      <c r="E24" s="154" t="s">
        <v>73</v>
      </c>
      <c r="F24" s="153">
        <v>2013</v>
      </c>
      <c r="G24" s="152">
        <v>2014</v>
      </c>
      <c r="H24" s="152">
        <v>2015</v>
      </c>
      <c r="I24" s="152">
        <v>2016</v>
      </c>
      <c r="J24" s="152">
        <v>2017</v>
      </c>
      <c r="K24" s="152">
        <v>2018</v>
      </c>
      <c r="L24" s="152">
        <v>2019</v>
      </c>
      <c r="M24" s="152">
        <v>2020</v>
      </c>
      <c r="N24" s="152">
        <v>2021</v>
      </c>
      <c r="O24" s="152">
        <v>2022</v>
      </c>
      <c r="P24" s="152">
        <v>2023</v>
      </c>
      <c r="Q24" s="153">
        <v>2024</v>
      </c>
      <c r="R24" s="154">
        <v>2025</v>
      </c>
      <c r="S24" s="152">
        <v>2026</v>
      </c>
      <c r="T24" s="152">
        <v>2027</v>
      </c>
      <c r="U24" s="152">
        <v>2028</v>
      </c>
      <c r="V24" s="152">
        <v>2029</v>
      </c>
      <c r="W24" s="154">
        <v>2030</v>
      </c>
    </row>
    <row r="25" spans="1:24" ht="15" customHeight="1">
      <c r="A25" s="155" t="s">
        <v>74</v>
      </c>
      <c r="B25" s="187">
        <v>-0.06</v>
      </c>
      <c r="C25" s="188">
        <v>-0.02</v>
      </c>
      <c r="D25" s="189">
        <f aca="true" t="shared" si="15" ref="D25:D88">C25</f>
        <v>-0.02</v>
      </c>
      <c r="E25" s="188">
        <f aca="true" t="shared" si="16" ref="E25:E88">C25</f>
        <v>-0.02</v>
      </c>
      <c r="F25" s="159">
        <f aca="true" t="shared" si="17" ref="F25:I37">G25/(1+$B25)</f>
        <v>125.52050021302625</v>
      </c>
      <c r="G25" s="160">
        <f>H25/(1+$B25)</f>
        <v>117.98927020024468</v>
      </c>
      <c r="H25" s="160">
        <f>I25/(1+$B25)</f>
        <v>110.90991398822999</v>
      </c>
      <c r="I25" s="160">
        <f>J25/(1+$B25)</f>
        <v>104.25531914893618</v>
      </c>
      <c r="J25" s="168">
        <v>98</v>
      </c>
      <c r="K25" s="168">
        <f>0.975*J25</f>
        <v>95.55</v>
      </c>
      <c r="L25" s="190">
        <f>0.975*K25</f>
        <v>93.16125</v>
      </c>
      <c r="M25" s="160">
        <f aca="true" t="shared" si="18" ref="M25:P41">L25*(1+$C25)</f>
        <v>91.298025</v>
      </c>
      <c r="N25" s="160">
        <f t="shared" si="18"/>
        <v>89.47206449999999</v>
      </c>
      <c r="O25" s="168">
        <f t="shared" si="18"/>
        <v>87.68262320999999</v>
      </c>
      <c r="P25" s="168">
        <f>O25*(1+$C25)</f>
        <v>85.92897074579999</v>
      </c>
      <c r="Q25" s="170">
        <f aca="true" t="shared" si="19" ref="Q25:R41">P25*(1+$D25)</f>
        <v>84.21039133088398</v>
      </c>
      <c r="R25" s="169">
        <f>Q25*(1+$D25)</f>
        <v>82.5261835042663</v>
      </c>
      <c r="S25" s="168">
        <f aca="true" t="shared" si="20" ref="S25:W41">R25*(1+$E25)</f>
        <v>80.87565983418096</v>
      </c>
      <c r="T25" s="168">
        <f t="shared" si="14"/>
        <v>79.25814663749735</v>
      </c>
      <c r="U25" s="168">
        <f t="shared" si="14"/>
        <v>77.6729837047474</v>
      </c>
      <c r="V25" s="168">
        <f t="shared" si="14"/>
        <v>76.11952403065244</v>
      </c>
      <c r="W25" s="169">
        <f t="shared" si="14"/>
        <v>74.59713355003939</v>
      </c>
      <c r="X25" s="142" t="s">
        <v>75</v>
      </c>
    </row>
    <row r="26" spans="1:24" ht="15" customHeight="1">
      <c r="A26" s="155" t="s">
        <v>76</v>
      </c>
      <c r="B26" s="187">
        <v>-0.02</v>
      </c>
      <c r="C26" s="188">
        <v>0</v>
      </c>
      <c r="D26" s="189">
        <f t="shared" si="15"/>
        <v>0</v>
      </c>
      <c r="E26" s="188">
        <f t="shared" si="16"/>
        <v>0</v>
      </c>
      <c r="F26" s="159">
        <f t="shared" si="17"/>
        <v>130.09989416807275</v>
      </c>
      <c r="G26" s="160">
        <f t="shared" si="17"/>
        <v>127.4978962847113</v>
      </c>
      <c r="H26" s="160">
        <f t="shared" si="17"/>
        <v>124.94793835901707</v>
      </c>
      <c r="I26" s="160">
        <f t="shared" si="17"/>
        <v>122.44897959183673</v>
      </c>
      <c r="J26" s="168">
        <v>120</v>
      </c>
      <c r="K26" s="168">
        <v>120</v>
      </c>
      <c r="L26" s="190">
        <v>120</v>
      </c>
      <c r="M26" s="160">
        <f t="shared" si="18"/>
        <v>120</v>
      </c>
      <c r="N26" s="160">
        <f t="shared" si="18"/>
        <v>120</v>
      </c>
      <c r="O26" s="168">
        <f t="shared" si="18"/>
        <v>120</v>
      </c>
      <c r="P26" s="168">
        <f t="shared" si="18"/>
        <v>120</v>
      </c>
      <c r="Q26" s="170">
        <f t="shared" si="19"/>
        <v>120</v>
      </c>
      <c r="R26" s="169">
        <f t="shared" si="19"/>
        <v>120</v>
      </c>
      <c r="S26" s="168">
        <f t="shared" si="20"/>
        <v>120</v>
      </c>
      <c r="T26" s="168">
        <f t="shared" si="20"/>
        <v>120</v>
      </c>
      <c r="U26" s="168">
        <f t="shared" si="20"/>
        <v>120</v>
      </c>
      <c r="V26" s="168">
        <f t="shared" si="20"/>
        <v>120</v>
      </c>
      <c r="W26" s="169">
        <f t="shared" si="20"/>
        <v>120</v>
      </c>
      <c r="X26" s="142" t="s">
        <v>77</v>
      </c>
    </row>
    <row r="27" spans="1:24" ht="15" customHeight="1">
      <c r="A27" s="155" t="s">
        <v>78</v>
      </c>
      <c r="B27" s="187">
        <v>-0.02</v>
      </c>
      <c r="C27" s="188">
        <v>0</v>
      </c>
      <c r="D27" s="189">
        <f t="shared" si="15"/>
        <v>0</v>
      </c>
      <c r="E27" s="188">
        <f t="shared" si="16"/>
        <v>0</v>
      </c>
      <c r="F27" s="159">
        <f t="shared" si="17"/>
        <v>175.63485712689825</v>
      </c>
      <c r="G27" s="160">
        <f t="shared" si="17"/>
        <v>172.12215998436028</v>
      </c>
      <c r="H27" s="160">
        <f t="shared" si="17"/>
        <v>168.67971678467308</v>
      </c>
      <c r="I27" s="160">
        <f t="shared" si="17"/>
        <v>165.3061224489796</v>
      </c>
      <c r="J27" s="168">
        <v>162</v>
      </c>
      <c r="K27" s="168">
        <v>162</v>
      </c>
      <c r="L27" s="190">
        <v>162</v>
      </c>
      <c r="M27" s="160">
        <f t="shared" si="18"/>
        <v>162</v>
      </c>
      <c r="N27" s="160">
        <f t="shared" si="18"/>
        <v>162</v>
      </c>
      <c r="O27" s="168">
        <f t="shared" si="18"/>
        <v>162</v>
      </c>
      <c r="P27" s="168">
        <f t="shared" si="18"/>
        <v>162</v>
      </c>
      <c r="Q27" s="170">
        <f t="shared" si="19"/>
        <v>162</v>
      </c>
      <c r="R27" s="169">
        <f t="shared" si="19"/>
        <v>162</v>
      </c>
      <c r="S27" s="168">
        <f t="shared" si="20"/>
        <v>162</v>
      </c>
      <c r="T27" s="168">
        <f t="shared" si="20"/>
        <v>162</v>
      </c>
      <c r="U27" s="168">
        <f t="shared" si="20"/>
        <v>162</v>
      </c>
      <c r="V27" s="168">
        <f t="shared" si="20"/>
        <v>162</v>
      </c>
      <c r="W27" s="169">
        <f t="shared" si="20"/>
        <v>162</v>
      </c>
      <c r="X27" s="142" t="s">
        <v>75</v>
      </c>
    </row>
    <row r="28" spans="1:24" ht="15" customHeight="1">
      <c r="A28" s="155" t="s">
        <v>79</v>
      </c>
      <c r="B28" s="187">
        <v>0</v>
      </c>
      <c r="C28" s="188">
        <v>0</v>
      </c>
      <c r="D28" s="189">
        <f t="shared" si="15"/>
        <v>0</v>
      </c>
      <c r="E28" s="188">
        <f t="shared" si="16"/>
        <v>0</v>
      </c>
      <c r="F28" s="159">
        <f t="shared" si="17"/>
        <v>94</v>
      </c>
      <c r="G28" s="160">
        <f t="shared" si="17"/>
        <v>94</v>
      </c>
      <c r="H28" s="160">
        <f t="shared" si="17"/>
        <v>94</v>
      </c>
      <c r="I28" s="160">
        <f t="shared" si="17"/>
        <v>94</v>
      </c>
      <c r="J28" s="168">
        <v>94</v>
      </c>
      <c r="K28" s="168">
        <v>94</v>
      </c>
      <c r="L28" s="190">
        <v>94</v>
      </c>
      <c r="M28" s="160">
        <f t="shared" si="18"/>
        <v>94</v>
      </c>
      <c r="N28" s="160">
        <f t="shared" si="18"/>
        <v>94</v>
      </c>
      <c r="O28" s="168">
        <f t="shared" si="18"/>
        <v>94</v>
      </c>
      <c r="P28" s="168">
        <f t="shared" si="18"/>
        <v>94</v>
      </c>
      <c r="Q28" s="170">
        <f t="shared" si="19"/>
        <v>94</v>
      </c>
      <c r="R28" s="169">
        <f t="shared" si="19"/>
        <v>94</v>
      </c>
      <c r="S28" s="168">
        <f t="shared" si="20"/>
        <v>94</v>
      </c>
      <c r="T28" s="168">
        <f t="shared" si="20"/>
        <v>94</v>
      </c>
      <c r="U28" s="168">
        <f t="shared" si="20"/>
        <v>94</v>
      </c>
      <c r="V28" s="168">
        <f t="shared" si="20"/>
        <v>94</v>
      </c>
      <c r="W28" s="169">
        <f t="shared" si="20"/>
        <v>94</v>
      </c>
      <c r="X28" s="142" t="s">
        <v>80</v>
      </c>
    </row>
    <row r="29" spans="1:24" ht="15" customHeight="1">
      <c r="A29" s="155" t="s">
        <v>81</v>
      </c>
      <c r="B29" s="187">
        <v>0.06</v>
      </c>
      <c r="C29" s="188">
        <v>0.02</v>
      </c>
      <c r="D29" s="189">
        <f t="shared" si="15"/>
        <v>0.02</v>
      </c>
      <c r="E29" s="188">
        <f t="shared" si="16"/>
        <v>0.02</v>
      </c>
      <c r="F29" s="159">
        <f t="shared" si="17"/>
        <v>158.4187326476041</v>
      </c>
      <c r="G29" s="160">
        <f t="shared" si="17"/>
        <v>167.92385660646033</v>
      </c>
      <c r="H29" s="168">
        <f t="shared" si="17"/>
        <v>177.99928800284798</v>
      </c>
      <c r="I29" s="168">
        <f t="shared" si="17"/>
        <v>188.67924528301887</v>
      </c>
      <c r="J29" s="168">
        <v>200</v>
      </c>
      <c r="K29" s="168">
        <f>1.055*J29</f>
        <v>211</v>
      </c>
      <c r="L29" s="190">
        <v>221</v>
      </c>
      <c r="M29" s="160">
        <f t="shared" si="18"/>
        <v>225.42000000000002</v>
      </c>
      <c r="N29" s="160">
        <f t="shared" si="18"/>
        <v>229.9284</v>
      </c>
      <c r="O29" s="168">
        <f t="shared" si="18"/>
        <v>234.526968</v>
      </c>
      <c r="P29" s="168">
        <f t="shared" si="18"/>
        <v>239.21750736</v>
      </c>
      <c r="Q29" s="170">
        <f t="shared" si="19"/>
        <v>244.00185750720001</v>
      </c>
      <c r="R29" s="169">
        <f t="shared" si="19"/>
        <v>248.88189465734402</v>
      </c>
      <c r="S29" s="168">
        <f t="shared" si="20"/>
        <v>253.8595325504909</v>
      </c>
      <c r="T29" s="168">
        <f t="shared" si="20"/>
        <v>258.93672320150074</v>
      </c>
      <c r="U29" s="168">
        <f t="shared" si="20"/>
        <v>264.11545766553076</v>
      </c>
      <c r="V29" s="168">
        <f t="shared" si="20"/>
        <v>269.3977668188414</v>
      </c>
      <c r="W29" s="169">
        <f t="shared" si="20"/>
        <v>274.7857221552182</v>
      </c>
      <c r="X29" s="142" t="s">
        <v>82</v>
      </c>
    </row>
    <row r="30" spans="1:24" ht="15" customHeight="1">
      <c r="A30" s="155" t="s">
        <v>30</v>
      </c>
      <c r="B30" s="187">
        <v>0.07</v>
      </c>
      <c r="C30" s="188">
        <v>0.035</v>
      </c>
      <c r="D30" s="189">
        <f t="shared" si="15"/>
        <v>0.035</v>
      </c>
      <c r="E30" s="444" t="e">
        <f>#REF!</f>
        <v>#REF!</v>
      </c>
      <c r="F30" s="159">
        <f t="shared" si="17"/>
        <v>1117.6414856496242</v>
      </c>
      <c r="G30" s="160">
        <f t="shared" si="17"/>
        <v>1195.876389645098</v>
      </c>
      <c r="H30" s="160">
        <f t="shared" si="17"/>
        <v>1279.5877369202549</v>
      </c>
      <c r="I30" s="160">
        <f t="shared" si="17"/>
        <v>1369.1588785046729</v>
      </c>
      <c r="J30" s="168">
        <v>1465</v>
      </c>
      <c r="K30" s="168">
        <v>1403</v>
      </c>
      <c r="L30" s="190">
        <v>1371</v>
      </c>
      <c r="M30" s="171">
        <v>1292</v>
      </c>
      <c r="N30" s="160">
        <f t="shared" si="18"/>
        <v>1337.2199999999998</v>
      </c>
      <c r="O30" s="168">
        <f t="shared" si="18"/>
        <v>1384.0226999999998</v>
      </c>
      <c r="P30" s="168">
        <f t="shared" si="18"/>
        <v>1432.4634944999996</v>
      </c>
      <c r="Q30" s="170">
        <f t="shared" si="19"/>
        <v>1482.5997168074994</v>
      </c>
      <c r="R30" s="169">
        <f t="shared" si="19"/>
        <v>1534.4907068957618</v>
      </c>
      <c r="S30" s="168" t="e">
        <f t="shared" si="20"/>
        <v>#REF!</v>
      </c>
      <c r="T30" s="168" t="e">
        <f t="shared" si="20"/>
        <v>#REF!</v>
      </c>
      <c r="U30" s="168" t="e">
        <f t="shared" si="20"/>
        <v>#REF!</v>
      </c>
      <c r="V30" s="168" t="e">
        <f t="shared" si="20"/>
        <v>#REF!</v>
      </c>
      <c r="W30" s="169" t="e">
        <f t="shared" si="20"/>
        <v>#REF!</v>
      </c>
      <c r="X30" s="142" t="s">
        <v>353</v>
      </c>
    </row>
    <row r="31" spans="1:24" ht="15" customHeight="1">
      <c r="A31" s="155" t="s">
        <v>84</v>
      </c>
      <c r="B31" s="187">
        <v>-0.06</v>
      </c>
      <c r="C31" s="188">
        <v>-0.03</v>
      </c>
      <c r="D31" s="189">
        <f t="shared" si="15"/>
        <v>-0.03</v>
      </c>
      <c r="E31" s="188">
        <f t="shared" si="16"/>
        <v>-0.03</v>
      </c>
      <c r="F31" s="159">
        <f t="shared" si="17"/>
        <v>204.93142891922653</v>
      </c>
      <c r="G31" s="160">
        <f t="shared" si="17"/>
        <v>192.63554318407293</v>
      </c>
      <c r="H31" s="160">
        <f t="shared" si="17"/>
        <v>181.07741059302853</v>
      </c>
      <c r="I31" s="160">
        <f t="shared" si="17"/>
        <v>170.2127659574468</v>
      </c>
      <c r="J31" s="168">
        <v>160</v>
      </c>
      <c r="K31" s="168">
        <v>150</v>
      </c>
      <c r="L31" s="190">
        <v>145</v>
      </c>
      <c r="M31" s="160">
        <f t="shared" si="18"/>
        <v>140.65</v>
      </c>
      <c r="N31" s="160">
        <f t="shared" si="18"/>
        <v>136.4305</v>
      </c>
      <c r="O31" s="168">
        <f t="shared" si="18"/>
        <v>132.337585</v>
      </c>
      <c r="P31" s="168">
        <f t="shared" si="18"/>
        <v>128.36745745</v>
      </c>
      <c r="Q31" s="170">
        <f t="shared" si="19"/>
        <v>124.51643372649998</v>
      </c>
      <c r="R31" s="169">
        <f t="shared" si="19"/>
        <v>120.78094071470498</v>
      </c>
      <c r="S31" s="168">
        <f t="shared" si="20"/>
        <v>117.15751249326382</v>
      </c>
      <c r="T31" s="168">
        <f t="shared" si="20"/>
        <v>113.6427871184659</v>
      </c>
      <c r="U31" s="168">
        <f t="shared" si="20"/>
        <v>110.23350350491192</v>
      </c>
      <c r="V31" s="168">
        <f t="shared" si="20"/>
        <v>106.92649839976457</v>
      </c>
      <c r="W31" s="169">
        <f t="shared" si="20"/>
        <v>103.71870344777163</v>
      </c>
      <c r="X31" s="142" t="s">
        <v>85</v>
      </c>
    </row>
    <row r="32" spans="1:24" ht="15" customHeight="1">
      <c r="A32" s="155" t="s">
        <v>86</v>
      </c>
      <c r="B32" s="187">
        <v>-0.12</v>
      </c>
      <c r="C32" s="188">
        <v>-0.14</v>
      </c>
      <c r="D32" s="189">
        <f t="shared" si="15"/>
        <v>-0.14</v>
      </c>
      <c r="E32" s="188">
        <f t="shared" si="16"/>
        <v>-0.14</v>
      </c>
      <c r="F32" s="159">
        <f t="shared" si="17"/>
        <v>833.7566593811897</v>
      </c>
      <c r="G32" s="160">
        <f t="shared" si="17"/>
        <v>733.705860255447</v>
      </c>
      <c r="H32" s="160">
        <f t="shared" si="17"/>
        <v>645.6611570247933</v>
      </c>
      <c r="I32" s="160">
        <f t="shared" si="17"/>
        <v>568.1818181818181</v>
      </c>
      <c r="J32" s="168">
        <v>500</v>
      </c>
      <c r="K32" s="168">
        <f>1890-K30</f>
        <v>487</v>
      </c>
      <c r="L32" s="190">
        <f>1790-L30</f>
        <v>419</v>
      </c>
      <c r="M32" s="160">
        <f t="shared" si="18"/>
        <v>360.34</v>
      </c>
      <c r="N32" s="160">
        <f t="shared" si="18"/>
        <v>309.89239999999995</v>
      </c>
      <c r="O32" s="168">
        <f t="shared" si="18"/>
        <v>266.50746399999997</v>
      </c>
      <c r="P32" s="168">
        <f t="shared" si="18"/>
        <v>229.19641903999997</v>
      </c>
      <c r="Q32" s="170">
        <f t="shared" si="19"/>
        <v>197.10892037439996</v>
      </c>
      <c r="R32" s="169">
        <f t="shared" si="19"/>
        <v>169.51367152198395</v>
      </c>
      <c r="S32" s="168">
        <f t="shared" si="20"/>
        <v>145.7817575089062</v>
      </c>
      <c r="T32" s="168">
        <f t="shared" si="20"/>
        <v>125.37231145765932</v>
      </c>
      <c r="U32" s="168">
        <f t="shared" si="20"/>
        <v>107.82018785358702</v>
      </c>
      <c r="V32" s="168">
        <f t="shared" si="20"/>
        <v>92.72536155408483</v>
      </c>
      <c r="W32" s="169">
        <f t="shared" si="20"/>
        <v>79.74381093651294</v>
      </c>
      <c r="X32" s="142" t="s">
        <v>87</v>
      </c>
    </row>
    <row r="33" spans="1:24" ht="15" customHeight="1">
      <c r="A33" s="155" t="s">
        <v>88</v>
      </c>
      <c r="B33" s="187">
        <v>0.23</v>
      </c>
      <c r="C33" s="192">
        <v>0.22</v>
      </c>
      <c r="D33" s="189">
        <f t="shared" si="15"/>
        <v>0.22</v>
      </c>
      <c r="E33" s="188">
        <f t="shared" si="16"/>
        <v>0.22</v>
      </c>
      <c r="F33" s="159">
        <f t="shared" si="17"/>
        <v>458.74236932857957</v>
      </c>
      <c r="G33" s="160">
        <f t="shared" si="17"/>
        <v>564.2531142741528</v>
      </c>
      <c r="H33" s="168">
        <f t="shared" si="17"/>
        <v>694.031330557208</v>
      </c>
      <c r="I33" s="168">
        <f t="shared" si="17"/>
        <v>853.6585365853658</v>
      </c>
      <c r="J33" s="168">
        <v>1050</v>
      </c>
      <c r="K33" s="168">
        <v>1200</v>
      </c>
      <c r="L33" s="190">
        <v>1400</v>
      </c>
      <c r="M33" s="168">
        <f t="shared" si="18"/>
        <v>1708</v>
      </c>
      <c r="N33" s="160">
        <f t="shared" si="18"/>
        <v>2083.7599999999998</v>
      </c>
      <c r="O33" s="168">
        <f t="shared" si="18"/>
        <v>2542.1872</v>
      </c>
      <c r="P33" s="168">
        <f t="shared" si="18"/>
        <v>3101.468384</v>
      </c>
      <c r="Q33" s="170">
        <f t="shared" si="19"/>
        <v>3783.7914284799995</v>
      </c>
      <c r="R33" s="169">
        <f t="shared" si="19"/>
        <v>4616.225542745599</v>
      </c>
      <c r="S33" s="168">
        <f t="shared" si="20"/>
        <v>5631.795162149631</v>
      </c>
      <c r="T33" s="168">
        <f t="shared" si="20"/>
        <v>6870.79009782255</v>
      </c>
      <c r="U33" s="168">
        <f>T33*(1+$E33)</f>
        <v>8382.36391934351</v>
      </c>
      <c r="V33" s="168">
        <f t="shared" si="20"/>
        <v>10226.483981599082</v>
      </c>
      <c r="W33" s="169">
        <f t="shared" si="20"/>
        <v>12476.310457550879</v>
      </c>
      <c r="X33" s="142" t="s">
        <v>89</v>
      </c>
    </row>
    <row r="34" spans="1:24" ht="15" customHeight="1">
      <c r="A34" s="155" t="s">
        <v>90</v>
      </c>
      <c r="B34" s="187">
        <v>0</v>
      </c>
      <c r="C34" s="188">
        <v>0</v>
      </c>
      <c r="D34" s="189">
        <f t="shared" si="15"/>
        <v>0</v>
      </c>
      <c r="E34" s="188">
        <f t="shared" si="16"/>
        <v>0</v>
      </c>
      <c r="F34" s="159">
        <f t="shared" si="17"/>
        <v>220</v>
      </c>
      <c r="G34" s="160">
        <f t="shared" si="17"/>
        <v>220</v>
      </c>
      <c r="H34" s="160">
        <f t="shared" si="17"/>
        <v>220</v>
      </c>
      <c r="I34" s="193">
        <f t="shared" si="17"/>
        <v>220</v>
      </c>
      <c r="J34" s="194">
        <v>220</v>
      </c>
      <c r="K34" s="194">
        <v>225</v>
      </c>
      <c r="L34" s="190">
        <v>230</v>
      </c>
      <c r="M34" s="160">
        <f t="shared" si="18"/>
        <v>230</v>
      </c>
      <c r="N34" s="160">
        <f t="shared" si="18"/>
        <v>230</v>
      </c>
      <c r="O34" s="168">
        <f t="shared" si="18"/>
        <v>230</v>
      </c>
      <c r="P34" s="168">
        <f t="shared" si="18"/>
        <v>230</v>
      </c>
      <c r="Q34" s="170">
        <f t="shared" si="19"/>
        <v>230</v>
      </c>
      <c r="R34" s="169">
        <f t="shared" si="19"/>
        <v>230</v>
      </c>
      <c r="S34" s="168">
        <f t="shared" si="20"/>
        <v>230</v>
      </c>
      <c r="T34" s="168">
        <f t="shared" si="20"/>
        <v>230</v>
      </c>
      <c r="U34" s="168">
        <f t="shared" si="20"/>
        <v>230</v>
      </c>
      <c r="V34" s="168">
        <f t="shared" si="20"/>
        <v>230</v>
      </c>
      <c r="W34" s="169">
        <f t="shared" si="20"/>
        <v>230</v>
      </c>
      <c r="X34" s="142" t="s">
        <v>91</v>
      </c>
    </row>
    <row r="35" spans="1:24" ht="15" customHeight="1">
      <c r="A35" s="155" t="s">
        <v>92</v>
      </c>
      <c r="B35" s="187">
        <v>0.12</v>
      </c>
      <c r="C35" s="188">
        <v>0.04</v>
      </c>
      <c r="D35" s="189">
        <f t="shared" si="15"/>
        <v>0.04</v>
      </c>
      <c r="E35" s="188">
        <f t="shared" si="16"/>
        <v>0.04</v>
      </c>
      <c r="F35" s="159">
        <f t="shared" si="17"/>
        <v>121.38395297532274</v>
      </c>
      <c r="G35" s="160">
        <f t="shared" si="17"/>
        <v>135.9500273323615</v>
      </c>
      <c r="H35" s="160">
        <f t="shared" si="17"/>
        <v>152.26403061224488</v>
      </c>
      <c r="I35" s="160">
        <f t="shared" si="17"/>
        <v>170.53571428571428</v>
      </c>
      <c r="J35" s="168">
        <v>191</v>
      </c>
      <c r="K35" s="168">
        <f>L35/1.12</f>
        <v>214.28571428571428</v>
      </c>
      <c r="L35" s="190">
        <v>240</v>
      </c>
      <c r="M35" s="160">
        <f t="shared" si="18"/>
        <v>249.60000000000002</v>
      </c>
      <c r="N35" s="160">
        <f t="shared" si="18"/>
        <v>259.58400000000006</v>
      </c>
      <c r="O35" s="168">
        <f t="shared" si="18"/>
        <v>269.9673600000001</v>
      </c>
      <c r="P35" s="168">
        <f t="shared" si="18"/>
        <v>280.7660544000001</v>
      </c>
      <c r="Q35" s="170">
        <f t="shared" si="19"/>
        <v>291.9966965760001</v>
      </c>
      <c r="R35" s="169">
        <f t="shared" si="19"/>
        <v>303.6765644390401</v>
      </c>
      <c r="S35" s="168">
        <f t="shared" si="20"/>
        <v>315.8236270166017</v>
      </c>
      <c r="T35" s="168">
        <f t="shared" si="20"/>
        <v>328.45657209726573</v>
      </c>
      <c r="U35" s="168">
        <f t="shared" si="20"/>
        <v>341.5948349811564</v>
      </c>
      <c r="V35" s="168">
        <f t="shared" si="20"/>
        <v>355.2586283804027</v>
      </c>
      <c r="W35" s="169">
        <f t="shared" si="20"/>
        <v>369.4689735156188</v>
      </c>
      <c r="X35" s="142" t="s">
        <v>93</v>
      </c>
    </row>
    <row r="36" spans="1:24" ht="15" customHeight="1">
      <c r="A36" s="155" t="s">
        <v>94</v>
      </c>
      <c r="B36" s="187">
        <v>0.01</v>
      </c>
      <c r="C36" s="188">
        <v>0.05</v>
      </c>
      <c r="D36" s="189">
        <f t="shared" si="15"/>
        <v>0.05</v>
      </c>
      <c r="E36" s="188">
        <f t="shared" si="16"/>
        <v>0.05</v>
      </c>
      <c r="F36" s="159">
        <f t="shared" si="17"/>
        <v>37.08182904273067</v>
      </c>
      <c r="G36" s="160">
        <f t="shared" si="17"/>
        <v>37.45264733315798</v>
      </c>
      <c r="H36" s="160">
        <f t="shared" si="17"/>
        <v>37.827173806489554</v>
      </c>
      <c r="I36" s="160">
        <f t="shared" si="17"/>
        <v>38.20544554455445</v>
      </c>
      <c r="J36" s="168">
        <v>38.5875</v>
      </c>
      <c r="K36" s="168">
        <v>42</v>
      </c>
      <c r="L36" s="190">
        <v>37</v>
      </c>
      <c r="M36" s="160">
        <f t="shared" si="18"/>
        <v>38.85</v>
      </c>
      <c r="N36" s="160">
        <f t="shared" si="18"/>
        <v>40.792500000000004</v>
      </c>
      <c r="O36" s="168">
        <f t="shared" si="18"/>
        <v>42.832125000000005</v>
      </c>
      <c r="P36" s="168">
        <f t="shared" si="18"/>
        <v>44.97373125000001</v>
      </c>
      <c r="Q36" s="170">
        <f t="shared" si="19"/>
        <v>47.22241781250001</v>
      </c>
      <c r="R36" s="169">
        <f t="shared" si="19"/>
        <v>49.583538703125015</v>
      </c>
      <c r="S36" s="168">
        <f t="shared" si="20"/>
        <v>52.06271563828127</v>
      </c>
      <c r="T36" s="168">
        <f t="shared" si="20"/>
        <v>54.66585142019533</v>
      </c>
      <c r="U36" s="168">
        <f t="shared" si="20"/>
        <v>57.3991439912051</v>
      </c>
      <c r="V36" s="168">
        <f t="shared" si="20"/>
        <v>60.26910119076536</v>
      </c>
      <c r="W36" s="169">
        <f t="shared" si="20"/>
        <v>63.282556250303635</v>
      </c>
      <c r="X36" s="142" t="s">
        <v>95</v>
      </c>
    </row>
    <row r="37" spans="1:24" ht="15" customHeight="1">
      <c r="A37" s="155" t="s">
        <v>96</v>
      </c>
      <c r="B37" s="187">
        <v>0</v>
      </c>
      <c r="C37" s="188">
        <v>0</v>
      </c>
      <c r="D37" s="189">
        <f t="shared" si="15"/>
        <v>0</v>
      </c>
      <c r="E37" s="188">
        <f t="shared" si="16"/>
        <v>0</v>
      </c>
      <c r="F37" s="159">
        <f t="shared" si="17"/>
        <v>70</v>
      </c>
      <c r="G37" s="160">
        <f t="shared" si="17"/>
        <v>70</v>
      </c>
      <c r="H37" s="160">
        <f t="shared" si="17"/>
        <v>70</v>
      </c>
      <c r="I37" s="160">
        <f t="shared" si="17"/>
        <v>70</v>
      </c>
      <c r="J37" s="168">
        <v>70</v>
      </c>
      <c r="K37" s="168">
        <v>70</v>
      </c>
      <c r="L37" s="190">
        <v>70</v>
      </c>
      <c r="M37" s="160">
        <f t="shared" si="18"/>
        <v>70</v>
      </c>
      <c r="N37" s="160">
        <f t="shared" si="18"/>
        <v>70</v>
      </c>
      <c r="O37" s="168">
        <f t="shared" si="18"/>
        <v>70</v>
      </c>
      <c r="P37" s="168">
        <f t="shared" si="18"/>
        <v>70</v>
      </c>
      <c r="Q37" s="170">
        <f t="shared" si="19"/>
        <v>70</v>
      </c>
      <c r="R37" s="169">
        <f>Q37*(1+$D37)</f>
        <v>70</v>
      </c>
      <c r="S37" s="168">
        <f t="shared" si="20"/>
        <v>70</v>
      </c>
      <c r="T37" s="168">
        <f t="shared" si="20"/>
        <v>70</v>
      </c>
      <c r="U37" s="168">
        <f t="shared" si="20"/>
        <v>70</v>
      </c>
      <c r="V37" s="168">
        <f t="shared" si="20"/>
        <v>70</v>
      </c>
      <c r="W37" s="169">
        <f t="shared" si="20"/>
        <v>70</v>
      </c>
      <c r="X37" s="142" t="s">
        <v>97</v>
      </c>
    </row>
    <row r="38" spans="1:24" ht="15" customHeight="1">
      <c r="A38" s="155" t="s">
        <v>5</v>
      </c>
      <c r="B38" s="187" t="s">
        <v>98</v>
      </c>
      <c r="C38" s="192">
        <v>0.67</v>
      </c>
      <c r="D38" s="421">
        <f>'Input - Hyp CAGR MetaMetaverse'!I4</f>
        <v>0.4378539706849116</v>
      </c>
      <c r="E38" s="422">
        <f>'Input - Hyp CAGR MetaMetaverse'!I4</f>
        <v>0.4378539706849116</v>
      </c>
      <c r="F38" s="159">
        <v>0</v>
      </c>
      <c r="G38" s="160">
        <v>0</v>
      </c>
      <c r="H38" s="160">
        <v>0</v>
      </c>
      <c r="I38" s="160">
        <v>0</v>
      </c>
      <c r="J38" s="168">
        <v>2</v>
      </c>
      <c r="K38" s="168">
        <v>4</v>
      </c>
      <c r="L38" s="190">
        <v>6</v>
      </c>
      <c r="M38" s="160">
        <f t="shared" si="18"/>
        <v>10.02</v>
      </c>
      <c r="N38" s="168">
        <f t="shared" si="18"/>
        <v>16.7334</v>
      </c>
      <c r="O38" s="168">
        <f t="shared" si="18"/>
        <v>27.944778</v>
      </c>
      <c r="P38" s="168">
        <f t="shared" si="18"/>
        <v>46.667779259999996</v>
      </c>
      <c r="Q38" s="170">
        <f t="shared" si="19"/>
        <v>67.10145171203796</v>
      </c>
      <c r="R38" s="169">
        <f t="shared" si="19"/>
        <v>96.48208878287564</v>
      </c>
      <c r="S38" s="168">
        <f t="shared" si="20"/>
        <v>138.7271544564319</v>
      </c>
      <c r="T38" s="168">
        <f t="shared" si="20"/>
        <v>199.46938987699963</v>
      </c>
      <c r="U38" s="168">
        <f t="shared" si="20"/>
        <v>286.8078542647406</v>
      </c>
      <c r="V38" s="168">
        <f t="shared" si="20"/>
        <v>412.38781207817675</v>
      </c>
      <c r="W38" s="169">
        <f t="shared" si="20"/>
        <v>592.9534530586695</v>
      </c>
      <c r="X38" s="142" t="s">
        <v>99</v>
      </c>
    </row>
    <row r="39" spans="1:24" ht="15" customHeight="1">
      <c r="A39" s="155" t="s">
        <v>33</v>
      </c>
      <c r="B39" s="187" t="s">
        <v>98</v>
      </c>
      <c r="C39" s="192">
        <v>0.19</v>
      </c>
      <c r="D39" s="189">
        <f t="shared" si="15"/>
        <v>0.19</v>
      </c>
      <c r="E39" s="188">
        <f t="shared" si="16"/>
        <v>0.19</v>
      </c>
      <c r="F39" s="159">
        <v>0</v>
      </c>
      <c r="G39" s="160">
        <v>0</v>
      </c>
      <c r="H39" s="160">
        <v>0</v>
      </c>
      <c r="I39" s="160">
        <v>0</v>
      </c>
      <c r="J39" s="168">
        <v>80</v>
      </c>
      <c r="K39" s="168">
        <v>125</v>
      </c>
      <c r="L39" s="190">
        <v>140</v>
      </c>
      <c r="M39" s="160">
        <f t="shared" si="18"/>
        <v>166.6</v>
      </c>
      <c r="N39" s="168">
        <f t="shared" si="18"/>
        <v>198.254</v>
      </c>
      <c r="O39" s="168">
        <f t="shared" si="18"/>
        <v>235.92225999999997</v>
      </c>
      <c r="P39" s="168">
        <f t="shared" si="18"/>
        <v>280.74748939999995</v>
      </c>
      <c r="Q39" s="170">
        <f t="shared" si="19"/>
        <v>334.0895123859999</v>
      </c>
      <c r="R39" s="169">
        <f t="shared" si="19"/>
        <v>397.56651973933987</v>
      </c>
      <c r="S39" s="168">
        <f t="shared" si="20"/>
        <v>473.10415848981444</v>
      </c>
      <c r="T39" s="168">
        <f t="shared" si="20"/>
        <v>562.9939486028792</v>
      </c>
      <c r="U39" s="168">
        <f t="shared" si="20"/>
        <v>669.9627988374262</v>
      </c>
      <c r="V39" s="168">
        <f t="shared" si="20"/>
        <v>797.2557306165372</v>
      </c>
      <c r="W39" s="169">
        <f t="shared" si="20"/>
        <v>948.7343194336793</v>
      </c>
      <c r="X39" s="142" t="s">
        <v>100</v>
      </c>
    </row>
    <row r="40" spans="1:24" ht="15" customHeight="1">
      <c r="A40" s="155" t="s">
        <v>101</v>
      </c>
      <c r="B40" s="187" t="s">
        <v>98</v>
      </c>
      <c r="C40" s="192">
        <v>0.1</v>
      </c>
      <c r="D40" s="189">
        <f t="shared" si="15"/>
        <v>0.1</v>
      </c>
      <c r="E40" s="188">
        <f t="shared" si="16"/>
        <v>0.1</v>
      </c>
      <c r="F40" s="159">
        <v>0</v>
      </c>
      <c r="G40" s="160">
        <v>2.5</v>
      </c>
      <c r="H40" s="160">
        <v>2.7</v>
      </c>
      <c r="I40" s="160">
        <v>3</v>
      </c>
      <c r="J40" s="168">
        <v>3.2</v>
      </c>
      <c r="K40" s="168">
        <v>3.5</v>
      </c>
      <c r="L40" s="190">
        <v>3.8</v>
      </c>
      <c r="M40" s="160">
        <f t="shared" si="18"/>
        <v>4.18</v>
      </c>
      <c r="N40" s="168">
        <f t="shared" si="18"/>
        <v>4.598</v>
      </c>
      <c r="O40" s="168">
        <f t="shared" si="18"/>
        <v>5.0578</v>
      </c>
      <c r="P40" s="168">
        <f t="shared" si="18"/>
        <v>5.563580000000001</v>
      </c>
      <c r="Q40" s="170">
        <f t="shared" si="19"/>
        <v>6.119938000000001</v>
      </c>
      <c r="R40" s="169">
        <f t="shared" si="19"/>
        <v>6.731931800000002</v>
      </c>
      <c r="S40" s="168">
        <f t="shared" si="20"/>
        <v>7.405124980000003</v>
      </c>
      <c r="T40" s="168">
        <f t="shared" si="20"/>
        <v>8.145637478000003</v>
      </c>
      <c r="U40" s="168">
        <f t="shared" si="20"/>
        <v>8.960201225800004</v>
      </c>
      <c r="V40" s="168">
        <f t="shared" si="20"/>
        <v>9.856221348380005</v>
      </c>
      <c r="W40" s="169">
        <f t="shared" si="20"/>
        <v>10.841843483218007</v>
      </c>
      <c r="X40" s="142" t="s">
        <v>102</v>
      </c>
    </row>
    <row r="41" spans="1:24" ht="15" customHeight="1">
      <c r="A41" s="155" t="s">
        <v>16</v>
      </c>
      <c r="B41" s="195" t="s">
        <v>98</v>
      </c>
      <c r="C41" s="196">
        <v>0.26</v>
      </c>
      <c r="D41" s="189">
        <f t="shared" si="15"/>
        <v>0.26</v>
      </c>
      <c r="E41" s="188">
        <f t="shared" si="16"/>
        <v>0.26</v>
      </c>
      <c r="F41" s="159">
        <v>0</v>
      </c>
      <c r="G41" s="160">
        <v>1</v>
      </c>
      <c r="H41" s="160">
        <v>3</v>
      </c>
      <c r="I41" s="160">
        <v>5</v>
      </c>
      <c r="J41" s="168">
        <v>10</v>
      </c>
      <c r="K41" s="168">
        <v>16</v>
      </c>
      <c r="L41" s="190">
        <v>25</v>
      </c>
      <c r="M41" s="160">
        <f t="shared" si="18"/>
        <v>31.5</v>
      </c>
      <c r="N41" s="168">
        <f t="shared" si="18"/>
        <v>39.69</v>
      </c>
      <c r="O41" s="168">
        <f t="shared" si="18"/>
        <v>50.0094</v>
      </c>
      <c r="P41" s="168">
        <f t="shared" si="18"/>
        <v>63.011843999999996</v>
      </c>
      <c r="Q41" s="170">
        <f t="shared" si="19"/>
        <v>79.39492344</v>
      </c>
      <c r="R41" s="169">
        <f t="shared" si="19"/>
        <v>100.0376035344</v>
      </c>
      <c r="S41" s="168">
        <f t="shared" si="20"/>
        <v>126.047380453344</v>
      </c>
      <c r="T41" s="168">
        <f t="shared" si="20"/>
        <v>158.81969937121346</v>
      </c>
      <c r="U41" s="168">
        <f t="shared" si="20"/>
        <v>200.11282120772896</v>
      </c>
      <c r="V41" s="168">
        <f t="shared" si="20"/>
        <v>252.14215472173848</v>
      </c>
      <c r="W41" s="169">
        <f t="shared" si="20"/>
        <v>317.6991149493905</v>
      </c>
      <c r="X41" s="142" t="s">
        <v>103</v>
      </c>
    </row>
    <row r="42" spans="1:24" ht="15" customHeight="1">
      <c r="A42" s="197" t="s">
        <v>104</v>
      </c>
      <c r="B42" s="198"/>
      <c r="C42" s="199"/>
      <c r="D42" s="199"/>
      <c r="E42" s="200"/>
      <c r="F42" s="201">
        <f>SUM(F25:F41)</f>
        <v>3747.2117094522746</v>
      </c>
      <c r="G42" s="202">
        <f aca="true" t="shared" si="21" ref="G42:W42">SUM(G25:G41)</f>
        <v>3832.906765100067</v>
      </c>
      <c r="H42" s="202">
        <f t="shared" si="21"/>
        <v>3962.685696648787</v>
      </c>
      <c r="I42" s="202">
        <f t="shared" si="21"/>
        <v>4142.6428255323435</v>
      </c>
      <c r="J42" s="203">
        <f t="shared" si="21"/>
        <v>4463.787499999999</v>
      </c>
      <c r="K42" s="203">
        <f t="shared" si="21"/>
        <v>4622.335714285715</v>
      </c>
      <c r="L42" s="204">
        <f t="shared" si="21"/>
        <v>4776.96125</v>
      </c>
      <c r="M42" s="202">
        <f t="shared" si="21"/>
        <v>4994.458025000002</v>
      </c>
      <c r="N42" s="203">
        <f t="shared" si="21"/>
        <v>5422.355264499998</v>
      </c>
      <c r="O42" s="203">
        <f t="shared" si="21"/>
        <v>5954.998263209999</v>
      </c>
      <c r="P42" s="203">
        <f t="shared" si="21"/>
        <v>6614.372711405799</v>
      </c>
      <c r="Q42" s="205">
        <f t="shared" si="21"/>
        <v>7418.153688153021</v>
      </c>
      <c r="R42" s="206">
        <f t="shared" si="21"/>
        <v>8402.497187038442</v>
      </c>
      <c r="S42" s="203" t="e">
        <f t="shared" si="21"/>
        <v>#REF!</v>
      </c>
      <c r="T42" s="203" t="e">
        <f t="shared" si="21"/>
        <v>#REF!</v>
      </c>
      <c r="U42" s="203" t="e">
        <f t="shared" si="21"/>
        <v>#REF!</v>
      </c>
      <c r="V42" s="203" t="e">
        <f t="shared" si="21"/>
        <v>#REF!</v>
      </c>
      <c r="W42" s="206" t="e">
        <f t="shared" si="21"/>
        <v>#REF!</v>
      </c>
      <c r="X42" s="142"/>
    </row>
    <row r="43" spans="1:23" ht="15" customHeight="1">
      <c r="A43" s="207"/>
      <c r="B43" s="207"/>
      <c r="C43" s="207"/>
      <c r="D43" s="207"/>
      <c r="E43" s="207"/>
      <c r="F43" s="142"/>
      <c r="G43" s="142"/>
      <c r="H43" s="142"/>
      <c r="I43" s="142"/>
      <c r="J43" s="142"/>
      <c r="K43" s="142"/>
      <c r="L43" s="142"/>
      <c r="M43" s="208"/>
      <c r="N43" s="208"/>
      <c r="O43" s="208"/>
      <c r="P43" s="208"/>
      <c r="Q43" s="208"/>
      <c r="R43" s="208"/>
      <c r="S43" s="208"/>
      <c r="T43" s="208"/>
      <c r="U43" s="208"/>
      <c r="V43" s="208"/>
      <c r="W43" s="208"/>
    </row>
    <row r="44" spans="1:23" ht="15" customHeight="1">
      <c r="A44" s="207"/>
      <c r="B44" s="207"/>
      <c r="C44" s="207"/>
      <c r="D44" s="207"/>
      <c r="E44" s="207"/>
      <c r="F44" s="142"/>
      <c r="G44" s="142"/>
      <c r="H44" s="142"/>
      <c r="I44" s="142"/>
      <c r="J44" s="142"/>
      <c r="K44" s="142"/>
      <c r="L44" s="142"/>
      <c r="M44" s="208"/>
      <c r="N44" s="208"/>
      <c r="O44" s="208"/>
      <c r="P44" s="208"/>
      <c r="Q44" s="208"/>
      <c r="R44" s="208"/>
      <c r="S44" s="208"/>
      <c r="T44" s="208"/>
      <c r="U44" s="208"/>
      <c r="V44" s="208"/>
      <c r="W44" s="208"/>
    </row>
    <row r="45" spans="1:23" ht="43.5">
      <c r="A45" s="151" t="s">
        <v>105</v>
      </c>
      <c r="B45" s="153" t="s">
        <v>354</v>
      </c>
      <c r="C45" s="154" t="s">
        <v>366</v>
      </c>
      <c r="D45" s="153" t="s">
        <v>72</v>
      </c>
      <c r="E45" s="154" t="s">
        <v>73</v>
      </c>
      <c r="F45" s="153">
        <v>2013</v>
      </c>
      <c r="G45" s="152">
        <v>2014</v>
      </c>
      <c r="H45" s="152">
        <v>2015</v>
      </c>
      <c r="I45" s="152">
        <v>2016</v>
      </c>
      <c r="J45" s="152">
        <v>2017</v>
      </c>
      <c r="K45" s="152">
        <v>2018</v>
      </c>
      <c r="L45" s="152">
        <v>2019</v>
      </c>
      <c r="M45" s="152">
        <v>2020</v>
      </c>
      <c r="N45" s="152">
        <v>2021</v>
      </c>
      <c r="O45" s="152">
        <v>2022</v>
      </c>
      <c r="P45" s="152">
        <v>2023</v>
      </c>
      <c r="Q45" s="153">
        <v>2024</v>
      </c>
      <c r="R45" s="154">
        <v>2025</v>
      </c>
      <c r="S45" s="153">
        <v>2026</v>
      </c>
      <c r="T45" s="152">
        <v>2027</v>
      </c>
      <c r="U45" s="152">
        <v>2028</v>
      </c>
      <c r="V45" s="152">
        <v>2029</v>
      </c>
      <c r="W45" s="154">
        <v>2030</v>
      </c>
    </row>
    <row r="46" spans="1:24" ht="15" customHeight="1">
      <c r="A46" s="155" t="s">
        <v>74</v>
      </c>
      <c r="B46" s="209">
        <v>0</v>
      </c>
      <c r="C46" s="210">
        <v>-0.01</v>
      </c>
      <c r="D46" s="209">
        <f t="shared" si="15"/>
        <v>-0.01</v>
      </c>
      <c r="E46" s="210">
        <f t="shared" si="16"/>
        <v>-0.01</v>
      </c>
      <c r="F46" s="159">
        <f aca="true" t="shared" si="22" ref="F46:K101">G46/(1+$B46)</f>
        <v>450</v>
      </c>
      <c r="G46" s="160">
        <f t="shared" si="22"/>
        <v>450</v>
      </c>
      <c r="H46" s="160">
        <f t="shared" si="22"/>
        <v>450</v>
      </c>
      <c r="I46" s="160">
        <f t="shared" si="22"/>
        <v>450</v>
      </c>
      <c r="J46" s="160">
        <f t="shared" si="22"/>
        <v>450</v>
      </c>
      <c r="K46" s="160">
        <f>L46/(1+$B46)</f>
        <v>450</v>
      </c>
      <c r="L46" s="190">
        <v>450</v>
      </c>
      <c r="M46" s="160">
        <f aca="true" t="shared" si="23" ref="M46:P100">L46*(1+$C46)</f>
        <v>445.5</v>
      </c>
      <c r="N46" s="160">
        <f t="shared" si="23"/>
        <v>441.045</v>
      </c>
      <c r="O46" s="160">
        <f t="shared" si="23"/>
        <v>436.63455</v>
      </c>
      <c r="P46" s="160">
        <f t="shared" si="23"/>
        <v>432.26820449999997</v>
      </c>
      <c r="Q46" s="159">
        <f aca="true" t="shared" si="24" ref="Q46:R101">P46*(1+$D46)</f>
        <v>427.94552245499995</v>
      </c>
      <c r="R46" s="161">
        <f>Q46*(1+$D46)</f>
        <v>423.6660672304499</v>
      </c>
      <c r="S46" s="159">
        <f aca="true" t="shared" si="25" ref="S46:W101">R46*(1+$E46)</f>
        <v>419.42940655814544</v>
      </c>
      <c r="T46" s="160">
        <f aca="true" t="shared" si="26" ref="T46:W46">S46*(1+$E46)</f>
        <v>415.235112492564</v>
      </c>
      <c r="U46" s="160">
        <f t="shared" si="26"/>
        <v>411.08276136763834</v>
      </c>
      <c r="V46" s="160">
        <f t="shared" si="26"/>
        <v>406.97193375396193</v>
      </c>
      <c r="W46" s="161">
        <f t="shared" si="26"/>
        <v>402.90221441642234</v>
      </c>
      <c r="X46" s="142" t="s">
        <v>106</v>
      </c>
    </row>
    <row r="47" spans="1:24" ht="15" customHeight="1">
      <c r="A47" s="155" t="s">
        <v>76</v>
      </c>
      <c r="B47" s="209">
        <v>0.04</v>
      </c>
      <c r="C47" s="210">
        <v>0.04</v>
      </c>
      <c r="D47" s="209">
        <f t="shared" si="15"/>
        <v>0.04</v>
      </c>
      <c r="E47" s="210">
        <f t="shared" si="16"/>
        <v>0.04</v>
      </c>
      <c r="F47" s="159">
        <f t="shared" si="22"/>
        <v>331.9321008066612</v>
      </c>
      <c r="G47" s="160">
        <f t="shared" si="22"/>
        <v>345.20938483892763</v>
      </c>
      <c r="H47" s="160">
        <f t="shared" si="22"/>
        <v>359.01776023248476</v>
      </c>
      <c r="I47" s="160">
        <f t="shared" si="22"/>
        <v>373.3784706417842</v>
      </c>
      <c r="J47" s="160">
        <f t="shared" si="22"/>
        <v>388.3136094674556</v>
      </c>
      <c r="K47" s="160">
        <f t="shared" si="22"/>
        <v>403.8461538461538</v>
      </c>
      <c r="L47" s="190">
        <v>420</v>
      </c>
      <c r="M47" s="160">
        <f t="shared" si="23"/>
        <v>436.8</v>
      </c>
      <c r="N47" s="160">
        <f t="shared" si="23"/>
        <v>454.27200000000005</v>
      </c>
      <c r="O47" s="160">
        <f t="shared" si="23"/>
        <v>472.44288000000006</v>
      </c>
      <c r="P47" s="160">
        <f t="shared" si="23"/>
        <v>491.34059520000005</v>
      </c>
      <c r="Q47" s="159">
        <f t="shared" si="24"/>
        <v>510.9942190080001</v>
      </c>
      <c r="R47" s="161">
        <f t="shared" si="24"/>
        <v>531.4339877683201</v>
      </c>
      <c r="S47" s="159">
        <f t="shared" si="25"/>
        <v>552.6913472790529</v>
      </c>
      <c r="T47" s="160">
        <f t="shared" si="25"/>
        <v>574.7990011702151</v>
      </c>
      <c r="U47" s="160">
        <f t="shared" si="25"/>
        <v>597.7909612170237</v>
      </c>
      <c r="V47" s="160">
        <f t="shared" si="25"/>
        <v>621.7025996657046</v>
      </c>
      <c r="W47" s="161">
        <f t="shared" si="25"/>
        <v>646.5707036523328</v>
      </c>
      <c r="X47" s="142" t="s">
        <v>106</v>
      </c>
    </row>
    <row r="48" spans="1:27" ht="15" customHeight="1">
      <c r="A48" s="155" t="s">
        <v>78</v>
      </c>
      <c r="B48" s="209">
        <v>0</v>
      </c>
      <c r="C48" s="210">
        <v>-0.01</v>
      </c>
      <c r="D48" s="209">
        <f t="shared" si="15"/>
        <v>-0.01</v>
      </c>
      <c r="E48" s="210">
        <f t="shared" si="16"/>
        <v>-0.01</v>
      </c>
      <c r="F48" s="159">
        <f t="shared" si="22"/>
        <v>400</v>
      </c>
      <c r="G48" s="160">
        <f t="shared" si="22"/>
        <v>400</v>
      </c>
      <c r="H48" s="160">
        <f t="shared" si="22"/>
        <v>400</v>
      </c>
      <c r="I48" s="160">
        <f t="shared" si="22"/>
        <v>400</v>
      </c>
      <c r="J48" s="160">
        <f t="shared" si="22"/>
        <v>400</v>
      </c>
      <c r="K48" s="160">
        <f t="shared" si="22"/>
        <v>400</v>
      </c>
      <c r="L48" s="190">
        <v>400</v>
      </c>
      <c r="M48" s="160">
        <f t="shared" si="23"/>
        <v>396</v>
      </c>
      <c r="N48" s="160">
        <f t="shared" si="23"/>
        <v>392.04</v>
      </c>
      <c r="O48" s="160">
        <f t="shared" si="23"/>
        <v>388.1196</v>
      </c>
      <c r="P48" s="160">
        <f t="shared" si="23"/>
        <v>384.238404</v>
      </c>
      <c r="Q48" s="159">
        <f t="shared" si="24"/>
        <v>380.39601996</v>
      </c>
      <c r="R48" s="161">
        <f t="shared" si="24"/>
        <v>376.5920597604</v>
      </c>
      <c r="S48" s="159">
        <f t="shared" si="25"/>
        <v>372.826139162796</v>
      </c>
      <c r="T48" s="160">
        <f t="shared" si="25"/>
        <v>369.09787777116804</v>
      </c>
      <c r="U48" s="160">
        <f t="shared" si="25"/>
        <v>365.40689899345637</v>
      </c>
      <c r="V48" s="160">
        <f t="shared" si="25"/>
        <v>361.7528300035218</v>
      </c>
      <c r="W48" s="161">
        <f t="shared" si="25"/>
        <v>358.13530170348656</v>
      </c>
      <c r="X48" s="142" t="s">
        <v>107</v>
      </c>
      <c r="Y48" s="142"/>
      <c r="Z48" s="142"/>
      <c r="AA48" s="142"/>
    </row>
    <row r="49" spans="1:24" ht="15" customHeight="1">
      <c r="A49" s="155" t="s">
        <v>79</v>
      </c>
      <c r="B49" s="209">
        <v>0.02</v>
      </c>
      <c r="C49" s="210">
        <v>0.01</v>
      </c>
      <c r="D49" s="209">
        <f t="shared" si="15"/>
        <v>0.01</v>
      </c>
      <c r="E49" s="210">
        <f t="shared" si="16"/>
        <v>0.01</v>
      </c>
      <c r="F49" s="159">
        <f t="shared" si="22"/>
        <v>221.992845546548</v>
      </c>
      <c r="G49" s="160">
        <f t="shared" si="22"/>
        <v>226.43270245747897</v>
      </c>
      <c r="H49" s="160">
        <f t="shared" si="22"/>
        <v>230.96135650662856</v>
      </c>
      <c r="I49" s="160">
        <f t="shared" si="22"/>
        <v>235.58058363676113</v>
      </c>
      <c r="J49" s="160">
        <f t="shared" si="22"/>
        <v>240.29219530949635</v>
      </c>
      <c r="K49" s="160">
        <f t="shared" si="22"/>
        <v>245.09803921568627</v>
      </c>
      <c r="L49" s="171">
        <v>250</v>
      </c>
      <c r="M49" s="160">
        <f t="shared" si="23"/>
        <v>252.5</v>
      </c>
      <c r="N49" s="160">
        <f t="shared" si="23"/>
        <v>255.025</v>
      </c>
      <c r="O49" s="160">
        <f t="shared" si="23"/>
        <v>257.57525</v>
      </c>
      <c r="P49" s="160">
        <f t="shared" si="23"/>
        <v>260.1510025</v>
      </c>
      <c r="Q49" s="159">
        <f t="shared" si="24"/>
        <v>262.752512525</v>
      </c>
      <c r="R49" s="161">
        <f t="shared" si="24"/>
        <v>265.38003765024996</v>
      </c>
      <c r="S49" s="159">
        <f t="shared" si="25"/>
        <v>268.03383802675245</v>
      </c>
      <c r="T49" s="160">
        <f t="shared" si="25"/>
        <v>270.71417640702</v>
      </c>
      <c r="U49" s="160">
        <f t="shared" si="25"/>
        <v>273.4213181710902</v>
      </c>
      <c r="V49" s="160">
        <f t="shared" si="25"/>
        <v>276.1555313528011</v>
      </c>
      <c r="W49" s="161">
        <f t="shared" si="25"/>
        <v>278.9170866663291</v>
      </c>
      <c r="X49" s="142" t="s">
        <v>108</v>
      </c>
    </row>
    <row r="50" spans="1:24" ht="15" customHeight="1">
      <c r="A50" s="155" t="s">
        <v>81</v>
      </c>
      <c r="B50" s="209">
        <v>-0.01</v>
      </c>
      <c r="C50" s="210">
        <v>-0.02</v>
      </c>
      <c r="D50" s="209">
        <f t="shared" si="15"/>
        <v>-0.02</v>
      </c>
      <c r="E50" s="210">
        <f t="shared" si="16"/>
        <v>-0.02</v>
      </c>
      <c r="F50" s="159">
        <f t="shared" si="22"/>
        <v>106.21572856700507</v>
      </c>
      <c r="G50" s="160">
        <f t="shared" si="22"/>
        <v>105.15357128133502</v>
      </c>
      <c r="H50" s="160">
        <f t="shared" si="22"/>
        <v>104.10203556852167</v>
      </c>
      <c r="I50" s="160">
        <f t="shared" si="22"/>
        <v>103.06101521283645</v>
      </c>
      <c r="J50" s="160">
        <f t="shared" si="22"/>
        <v>102.03040506070809</v>
      </c>
      <c r="K50" s="168">
        <f t="shared" si="22"/>
        <v>101.01010101010101</v>
      </c>
      <c r="L50" s="171">
        <v>100</v>
      </c>
      <c r="M50" s="160">
        <f t="shared" si="23"/>
        <v>98</v>
      </c>
      <c r="N50" s="160">
        <f t="shared" si="23"/>
        <v>96.03999999999999</v>
      </c>
      <c r="O50" s="160">
        <f t="shared" si="23"/>
        <v>94.11919999999999</v>
      </c>
      <c r="P50" s="160">
        <f t="shared" si="23"/>
        <v>92.23681599999999</v>
      </c>
      <c r="Q50" s="159">
        <f t="shared" si="24"/>
        <v>90.39207968</v>
      </c>
      <c r="R50" s="161">
        <f t="shared" si="24"/>
        <v>88.58423808639999</v>
      </c>
      <c r="S50" s="159">
        <f t="shared" si="25"/>
        <v>86.812553324672</v>
      </c>
      <c r="T50" s="160">
        <f t="shared" si="25"/>
        <v>85.07630225817856</v>
      </c>
      <c r="U50" s="160">
        <f t="shared" si="25"/>
        <v>83.37477621301498</v>
      </c>
      <c r="V50" s="160">
        <f t="shared" si="25"/>
        <v>81.70728068875468</v>
      </c>
      <c r="W50" s="161">
        <f t="shared" si="25"/>
        <v>80.07313507497959</v>
      </c>
      <c r="X50" s="142" t="s">
        <v>109</v>
      </c>
    </row>
    <row r="51" spans="1:24" ht="15" customHeight="1">
      <c r="A51" s="155" t="s">
        <v>30</v>
      </c>
      <c r="B51" s="209">
        <v>0.1</v>
      </c>
      <c r="C51" s="210">
        <v>0.05</v>
      </c>
      <c r="D51" s="209">
        <f t="shared" si="15"/>
        <v>0.05</v>
      </c>
      <c r="E51" s="210">
        <f t="shared" si="16"/>
        <v>0.05</v>
      </c>
      <c r="F51" s="159">
        <f t="shared" si="22"/>
        <v>47.980284054571065</v>
      </c>
      <c r="G51" s="160">
        <f t="shared" si="22"/>
        <v>52.778312460028175</v>
      </c>
      <c r="H51" s="160">
        <f t="shared" si="22"/>
        <v>58.056143706030994</v>
      </c>
      <c r="I51" s="160">
        <f t="shared" si="22"/>
        <v>63.861758076634096</v>
      </c>
      <c r="J51" s="160">
        <f t="shared" si="22"/>
        <v>70.24793388429751</v>
      </c>
      <c r="K51" s="160">
        <f t="shared" si="22"/>
        <v>77.27272727272727</v>
      </c>
      <c r="L51" s="190">
        <v>85</v>
      </c>
      <c r="M51" s="160">
        <f t="shared" si="23"/>
        <v>89.25</v>
      </c>
      <c r="N51" s="160">
        <f t="shared" si="23"/>
        <v>93.7125</v>
      </c>
      <c r="O51" s="160">
        <f t="shared" si="23"/>
        <v>98.39812500000001</v>
      </c>
      <c r="P51" s="160">
        <f t="shared" si="23"/>
        <v>103.31803125000002</v>
      </c>
      <c r="Q51" s="159">
        <f t="shared" si="24"/>
        <v>108.48393281250003</v>
      </c>
      <c r="R51" s="161">
        <f t="shared" si="24"/>
        <v>113.90812945312504</v>
      </c>
      <c r="S51" s="159">
        <f t="shared" si="25"/>
        <v>119.6035359257813</v>
      </c>
      <c r="T51" s="160">
        <f t="shared" si="25"/>
        <v>125.58371272207037</v>
      </c>
      <c r="U51" s="160">
        <f t="shared" si="25"/>
        <v>131.8628983581739</v>
      </c>
      <c r="V51" s="160">
        <f t="shared" si="25"/>
        <v>138.4560432760826</v>
      </c>
      <c r="W51" s="161">
        <f t="shared" si="25"/>
        <v>145.37884543988673</v>
      </c>
      <c r="X51" s="142" t="s">
        <v>110</v>
      </c>
    </row>
    <row r="52" spans="1:24" ht="15" customHeight="1">
      <c r="A52" s="155" t="s">
        <v>84</v>
      </c>
      <c r="B52" s="209">
        <v>0.1</v>
      </c>
      <c r="C52" s="210">
        <v>0.05</v>
      </c>
      <c r="D52" s="209">
        <f t="shared" si="15"/>
        <v>0.05</v>
      </c>
      <c r="E52" s="210">
        <f t="shared" si="16"/>
        <v>0.05</v>
      </c>
      <c r="F52" s="159">
        <f t="shared" si="22"/>
        <v>112.89478601075544</v>
      </c>
      <c r="G52" s="160">
        <f t="shared" si="22"/>
        <v>124.184264611831</v>
      </c>
      <c r="H52" s="160">
        <f t="shared" si="22"/>
        <v>136.6026910730141</v>
      </c>
      <c r="I52" s="160">
        <f t="shared" si="22"/>
        <v>150.26296018031553</v>
      </c>
      <c r="J52" s="160">
        <f t="shared" si="22"/>
        <v>165.2892561983471</v>
      </c>
      <c r="K52" s="160">
        <f t="shared" si="22"/>
        <v>181.8181818181818</v>
      </c>
      <c r="L52" s="190">
        <v>200</v>
      </c>
      <c r="M52" s="160">
        <f t="shared" si="23"/>
        <v>210</v>
      </c>
      <c r="N52" s="160">
        <f t="shared" si="23"/>
        <v>220.5</v>
      </c>
      <c r="O52" s="160">
        <f t="shared" si="23"/>
        <v>231.525</v>
      </c>
      <c r="P52" s="160">
        <f t="shared" si="23"/>
        <v>243.10125000000002</v>
      </c>
      <c r="Q52" s="159">
        <f t="shared" si="24"/>
        <v>255.25631250000004</v>
      </c>
      <c r="R52" s="161">
        <f t="shared" si="24"/>
        <v>268.01912812500007</v>
      </c>
      <c r="S52" s="159">
        <f t="shared" si="25"/>
        <v>281.4200845312501</v>
      </c>
      <c r="T52" s="160">
        <f t="shared" si="25"/>
        <v>295.49108875781263</v>
      </c>
      <c r="U52" s="160">
        <f t="shared" si="25"/>
        <v>310.26564319570326</v>
      </c>
      <c r="V52" s="160">
        <f t="shared" si="25"/>
        <v>325.7789253554884</v>
      </c>
      <c r="W52" s="161">
        <f t="shared" si="25"/>
        <v>342.0678716232629</v>
      </c>
      <c r="X52" s="142" t="s">
        <v>110</v>
      </c>
    </row>
    <row r="53" spans="1:24" ht="15" customHeight="1">
      <c r="A53" s="155" t="s">
        <v>86</v>
      </c>
      <c r="B53" s="209">
        <v>0</v>
      </c>
      <c r="C53" s="210">
        <v>0</v>
      </c>
      <c r="D53" s="209">
        <f t="shared" si="15"/>
        <v>0</v>
      </c>
      <c r="E53" s="210">
        <f t="shared" si="16"/>
        <v>0</v>
      </c>
      <c r="F53" s="159">
        <f t="shared" si="22"/>
        <v>20</v>
      </c>
      <c r="G53" s="160">
        <f t="shared" si="22"/>
        <v>20</v>
      </c>
      <c r="H53" s="160">
        <f t="shared" si="22"/>
        <v>20</v>
      </c>
      <c r="I53" s="160">
        <f t="shared" si="22"/>
        <v>20</v>
      </c>
      <c r="J53" s="160">
        <f t="shared" si="22"/>
        <v>20</v>
      </c>
      <c r="K53" s="160">
        <f t="shared" si="22"/>
        <v>20</v>
      </c>
      <c r="L53" s="171">
        <v>20</v>
      </c>
      <c r="M53" s="160">
        <f t="shared" si="23"/>
        <v>20</v>
      </c>
      <c r="N53" s="160">
        <f t="shared" si="23"/>
        <v>20</v>
      </c>
      <c r="O53" s="160">
        <f t="shared" si="23"/>
        <v>20</v>
      </c>
      <c r="P53" s="160">
        <f t="shared" si="23"/>
        <v>20</v>
      </c>
      <c r="Q53" s="159">
        <f t="shared" si="24"/>
        <v>20</v>
      </c>
      <c r="R53" s="161">
        <f t="shared" si="24"/>
        <v>20</v>
      </c>
      <c r="S53" s="159">
        <f t="shared" si="25"/>
        <v>20</v>
      </c>
      <c r="T53" s="160">
        <f t="shared" si="25"/>
        <v>20</v>
      </c>
      <c r="U53" s="160">
        <f t="shared" si="25"/>
        <v>20</v>
      </c>
      <c r="V53" s="160">
        <f t="shared" si="25"/>
        <v>20</v>
      </c>
      <c r="W53" s="161">
        <f t="shared" si="25"/>
        <v>20</v>
      </c>
      <c r="X53" s="142" t="s">
        <v>111</v>
      </c>
    </row>
    <row r="54" spans="1:24" ht="15" customHeight="1">
      <c r="A54" s="212" t="s">
        <v>88</v>
      </c>
      <c r="B54" s="213">
        <v>0.05</v>
      </c>
      <c r="C54" s="214">
        <v>0.05</v>
      </c>
      <c r="D54" s="209">
        <f t="shared" si="15"/>
        <v>0.05</v>
      </c>
      <c r="E54" s="210">
        <f t="shared" si="16"/>
        <v>0.05</v>
      </c>
      <c r="F54" s="159">
        <f t="shared" si="22"/>
        <v>1.1193230949549413</v>
      </c>
      <c r="G54" s="160">
        <f t="shared" si="22"/>
        <v>1.1752892497026883</v>
      </c>
      <c r="H54" s="160">
        <f t="shared" si="22"/>
        <v>1.2340537121878228</v>
      </c>
      <c r="I54" s="160">
        <f t="shared" si="22"/>
        <v>1.295756397797214</v>
      </c>
      <c r="J54" s="160">
        <f t="shared" si="22"/>
        <v>1.3605442176870748</v>
      </c>
      <c r="K54" s="160">
        <f t="shared" si="22"/>
        <v>1.4285714285714286</v>
      </c>
      <c r="L54" s="171">
        <f>5*0.3</f>
        <v>1.5</v>
      </c>
      <c r="M54" s="160">
        <f t="shared" si="23"/>
        <v>1.5750000000000002</v>
      </c>
      <c r="N54" s="160">
        <f t="shared" si="23"/>
        <v>1.6537500000000003</v>
      </c>
      <c r="O54" s="160">
        <f t="shared" si="23"/>
        <v>1.7364375000000003</v>
      </c>
      <c r="P54" s="160">
        <f t="shared" si="23"/>
        <v>1.8232593750000003</v>
      </c>
      <c r="Q54" s="159">
        <f t="shared" si="24"/>
        <v>1.9144223437500005</v>
      </c>
      <c r="R54" s="161">
        <f t="shared" si="24"/>
        <v>2.010143460937501</v>
      </c>
      <c r="S54" s="159">
        <f t="shared" si="25"/>
        <v>2.110650633984376</v>
      </c>
      <c r="T54" s="160">
        <f t="shared" si="25"/>
        <v>2.216183165683595</v>
      </c>
      <c r="U54" s="160">
        <f t="shared" si="25"/>
        <v>2.3269923239677746</v>
      </c>
      <c r="V54" s="160">
        <f t="shared" si="25"/>
        <v>2.4433419401661634</v>
      </c>
      <c r="W54" s="161">
        <f t="shared" si="25"/>
        <v>2.5655090371744715</v>
      </c>
      <c r="X54" s="142" t="s">
        <v>112</v>
      </c>
    </row>
    <row r="55" spans="1:24" ht="15" customHeight="1">
      <c r="A55" s="155" t="s">
        <v>90</v>
      </c>
      <c r="B55" s="209">
        <v>0.1</v>
      </c>
      <c r="C55" s="210">
        <v>0.07</v>
      </c>
      <c r="D55" s="209">
        <f t="shared" si="15"/>
        <v>0.07</v>
      </c>
      <c r="E55" s="210">
        <f t="shared" si="16"/>
        <v>0.07</v>
      </c>
      <c r="F55" s="159">
        <f t="shared" si="22"/>
        <v>598.3423658570039</v>
      </c>
      <c r="G55" s="160">
        <f t="shared" si="22"/>
        <v>658.1766024427043</v>
      </c>
      <c r="H55" s="160">
        <f t="shared" si="22"/>
        <v>723.9942626869747</v>
      </c>
      <c r="I55" s="160">
        <f t="shared" si="22"/>
        <v>796.3936889556722</v>
      </c>
      <c r="J55" s="160">
        <f t="shared" si="22"/>
        <v>876.0330578512395</v>
      </c>
      <c r="K55" s="160">
        <f t="shared" si="22"/>
        <v>963.6363636363635</v>
      </c>
      <c r="L55" s="190">
        <v>1060</v>
      </c>
      <c r="M55" s="160">
        <f t="shared" si="23"/>
        <v>1134.2</v>
      </c>
      <c r="N55" s="160">
        <f t="shared" si="23"/>
        <v>1213.594</v>
      </c>
      <c r="O55" s="160">
        <f t="shared" si="23"/>
        <v>1298.5455800000002</v>
      </c>
      <c r="P55" s="160">
        <f t="shared" si="23"/>
        <v>1389.4437706000003</v>
      </c>
      <c r="Q55" s="159">
        <f t="shared" si="24"/>
        <v>1486.7048345420005</v>
      </c>
      <c r="R55" s="161">
        <f t="shared" si="24"/>
        <v>1590.7741729599406</v>
      </c>
      <c r="S55" s="159">
        <f t="shared" si="25"/>
        <v>1702.1283650671367</v>
      </c>
      <c r="T55" s="160">
        <f t="shared" si="25"/>
        <v>1821.2773506218364</v>
      </c>
      <c r="U55" s="160">
        <f t="shared" si="25"/>
        <v>1948.766765165365</v>
      </c>
      <c r="V55" s="160">
        <f t="shared" si="25"/>
        <v>2085.180438726941</v>
      </c>
      <c r="W55" s="161">
        <f t="shared" si="25"/>
        <v>2231.143069437827</v>
      </c>
      <c r="X55" s="215" t="s">
        <v>113</v>
      </c>
    </row>
    <row r="56" spans="1:24" ht="13.75" customHeight="1">
      <c r="A56" s="155" t="s">
        <v>92</v>
      </c>
      <c r="B56" s="209">
        <v>0</v>
      </c>
      <c r="C56" s="210">
        <v>-0.01</v>
      </c>
      <c r="D56" s="209">
        <f t="shared" si="15"/>
        <v>-0.01</v>
      </c>
      <c r="E56" s="210">
        <f t="shared" si="16"/>
        <v>-0.01</v>
      </c>
      <c r="F56" s="159">
        <f t="shared" si="22"/>
        <v>70</v>
      </c>
      <c r="G56" s="160">
        <f t="shared" si="22"/>
        <v>70</v>
      </c>
      <c r="H56" s="160">
        <f t="shared" si="22"/>
        <v>70</v>
      </c>
      <c r="I56" s="160">
        <f t="shared" si="22"/>
        <v>70</v>
      </c>
      <c r="J56" s="160">
        <f t="shared" si="22"/>
        <v>70</v>
      </c>
      <c r="K56" s="160">
        <f t="shared" si="22"/>
        <v>70</v>
      </c>
      <c r="L56" s="171">
        <v>70</v>
      </c>
      <c r="M56" s="160">
        <f t="shared" si="23"/>
        <v>69.3</v>
      </c>
      <c r="N56" s="160">
        <f t="shared" si="23"/>
        <v>68.607</v>
      </c>
      <c r="O56" s="160">
        <f t="shared" si="23"/>
        <v>67.92093</v>
      </c>
      <c r="P56" s="160">
        <f t="shared" si="23"/>
        <v>67.2417207</v>
      </c>
      <c r="Q56" s="159">
        <f t="shared" si="24"/>
        <v>66.569303493</v>
      </c>
      <c r="R56" s="161">
        <f t="shared" si="24"/>
        <v>65.90361045807</v>
      </c>
      <c r="S56" s="159">
        <f t="shared" si="25"/>
        <v>65.2445743534893</v>
      </c>
      <c r="T56" s="160">
        <f t="shared" si="25"/>
        <v>64.5921286099544</v>
      </c>
      <c r="U56" s="160">
        <f t="shared" si="25"/>
        <v>63.94620732385486</v>
      </c>
      <c r="V56" s="160">
        <f t="shared" si="25"/>
        <v>63.30674525061631</v>
      </c>
      <c r="W56" s="161">
        <f t="shared" si="25"/>
        <v>62.67367779811015</v>
      </c>
      <c r="X56" s="142" t="s">
        <v>114</v>
      </c>
    </row>
    <row r="57" spans="1:24" ht="13.75" customHeight="1">
      <c r="A57" s="155" t="s">
        <v>94</v>
      </c>
      <c r="B57" s="209">
        <v>0</v>
      </c>
      <c r="C57" s="210">
        <v>-0.01</v>
      </c>
      <c r="D57" s="209">
        <f t="shared" si="15"/>
        <v>-0.01</v>
      </c>
      <c r="E57" s="210">
        <f t="shared" si="16"/>
        <v>-0.01</v>
      </c>
      <c r="F57" s="159">
        <f t="shared" si="22"/>
        <v>120</v>
      </c>
      <c r="G57" s="160">
        <f t="shared" si="22"/>
        <v>120</v>
      </c>
      <c r="H57" s="160">
        <f t="shared" si="22"/>
        <v>120</v>
      </c>
      <c r="I57" s="160">
        <f t="shared" si="22"/>
        <v>120</v>
      </c>
      <c r="J57" s="160">
        <f t="shared" si="22"/>
        <v>120</v>
      </c>
      <c r="K57" s="160">
        <f t="shared" si="22"/>
        <v>120</v>
      </c>
      <c r="L57" s="171">
        <v>120</v>
      </c>
      <c r="M57" s="160">
        <f t="shared" si="23"/>
        <v>118.8</v>
      </c>
      <c r="N57" s="160">
        <f t="shared" si="23"/>
        <v>117.612</v>
      </c>
      <c r="O57" s="160">
        <f t="shared" si="23"/>
        <v>116.43588</v>
      </c>
      <c r="P57" s="160">
        <f t="shared" si="23"/>
        <v>115.2715212</v>
      </c>
      <c r="Q57" s="159">
        <f t="shared" si="24"/>
        <v>114.11880598799999</v>
      </c>
      <c r="R57" s="161">
        <f t="shared" si="24"/>
        <v>112.97761792812</v>
      </c>
      <c r="S57" s="159">
        <f t="shared" si="25"/>
        <v>111.8478417488388</v>
      </c>
      <c r="T57" s="160">
        <f t="shared" si="25"/>
        <v>110.72936333135041</v>
      </c>
      <c r="U57" s="160">
        <f t="shared" si="25"/>
        <v>109.62206969803691</v>
      </c>
      <c r="V57" s="160">
        <f t="shared" si="25"/>
        <v>108.52584900105654</v>
      </c>
      <c r="W57" s="161">
        <f t="shared" si="25"/>
        <v>107.44059051104598</v>
      </c>
      <c r="X57" s="142" t="s">
        <v>115</v>
      </c>
    </row>
    <row r="58" spans="1:24" ht="13.75" customHeight="1">
      <c r="A58" s="155" t="s">
        <v>96</v>
      </c>
      <c r="B58" s="209">
        <v>0</v>
      </c>
      <c r="C58" s="210">
        <v>-0.01</v>
      </c>
      <c r="D58" s="209">
        <f t="shared" si="15"/>
        <v>-0.01</v>
      </c>
      <c r="E58" s="210">
        <f t="shared" si="16"/>
        <v>-0.01</v>
      </c>
      <c r="F58" s="159">
        <f t="shared" si="22"/>
        <v>120</v>
      </c>
      <c r="G58" s="160">
        <f t="shared" si="22"/>
        <v>120</v>
      </c>
      <c r="H58" s="160">
        <f t="shared" si="22"/>
        <v>120</v>
      </c>
      <c r="I58" s="160">
        <f t="shared" si="22"/>
        <v>120</v>
      </c>
      <c r="J58" s="160">
        <f t="shared" si="22"/>
        <v>120</v>
      </c>
      <c r="K58" s="160">
        <f t="shared" si="22"/>
        <v>120</v>
      </c>
      <c r="L58" s="171">
        <v>120</v>
      </c>
      <c r="M58" s="160">
        <f t="shared" si="23"/>
        <v>118.8</v>
      </c>
      <c r="N58" s="160">
        <f t="shared" si="23"/>
        <v>117.612</v>
      </c>
      <c r="O58" s="160">
        <f t="shared" si="23"/>
        <v>116.43588</v>
      </c>
      <c r="P58" s="160">
        <f t="shared" si="23"/>
        <v>115.2715212</v>
      </c>
      <c r="Q58" s="159">
        <f t="shared" si="24"/>
        <v>114.11880598799999</v>
      </c>
      <c r="R58" s="161">
        <f t="shared" si="24"/>
        <v>112.97761792812</v>
      </c>
      <c r="S58" s="159">
        <f t="shared" si="25"/>
        <v>111.8478417488388</v>
      </c>
      <c r="T58" s="160">
        <f t="shared" si="25"/>
        <v>110.72936333135041</v>
      </c>
      <c r="U58" s="160">
        <f t="shared" si="25"/>
        <v>109.62206969803691</v>
      </c>
      <c r="V58" s="160">
        <f t="shared" si="25"/>
        <v>108.52584900105654</v>
      </c>
      <c r="W58" s="161">
        <f t="shared" si="25"/>
        <v>107.44059051104598</v>
      </c>
      <c r="X58" s="142" t="s">
        <v>116</v>
      </c>
    </row>
    <row r="59" spans="1:24" ht="13.75" customHeight="1">
      <c r="A59" s="155" t="s">
        <v>5</v>
      </c>
      <c r="B59" s="209">
        <v>0.01</v>
      </c>
      <c r="C59" s="210">
        <v>0.03</v>
      </c>
      <c r="D59" s="423">
        <f>'Input - Hyp CAGR MetaMetaverse'!I5</f>
        <v>0.07012954514109704</v>
      </c>
      <c r="E59" s="424">
        <f>'Input - Hyp CAGR MetaMetaverse'!I5</f>
        <v>0.07012954514109704</v>
      </c>
      <c r="F59" s="159">
        <f t="shared" si="22"/>
        <v>47.10226176271033</v>
      </c>
      <c r="G59" s="160">
        <f t="shared" si="22"/>
        <v>47.573284380337434</v>
      </c>
      <c r="H59" s="160">
        <f t="shared" si="22"/>
        <v>48.04901722414081</v>
      </c>
      <c r="I59" s="160">
        <f t="shared" si="22"/>
        <v>48.52950739638222</v>
      </c>
      <c r="J59" s="160">
        <f t="shared" si="22"/>
        <v>49.01480247034605</v>
      </c>
      <c r="K59" s="160">
        <f t="shared" si="22"/>
        <v>49.504950495049506</v>
      </c>
      <c r="L59" s="171">
        <v>50</v>
      </c>
      <c r="M59" s="160">
        <f t="shared" si="23"/>
        <v>51.5</v>
      </c>
      <c r="N59" s="160">
        <f t="shared" si="23"/>
        <v>53.045</v>
      </c>
      <c r="O59" s="160">
        <f t="shared" si="23"/>
        <v>54.63635</v>
      </c>
      <c r="P59" s="160">
        <f t="shared" si="23"/>
        <v>56.2754405</v>
      </c>
      <c r="Q59" s="159">
        <f t="shared" si="24"/>
        <v>60.22201154487987</v>
      </c>
      <c r="R59" s="161">
        <f t="shared" si="24"/>
        <v>64.4453538220042</v>
      </c>
      <c r="S59" s="159">
        <f t="shared" si="25"/>
        <v>68.96487717199841</v>
      </c>
      <c r="T59" s="160">
        <f t="shared" si="25"/>
        <v>73.80135263878229</v>
      </c>
      <c r="U59" s="160">
        <f t="shared" si="25"/>
        <v>78.97700793013779</v>
      </c>
      <c r="V59" s="160">
        <f t="shared" si="25"/>
        <v>84.51562957288317</v>
      </c>
      <c r="W59" s="161">
        <f t="shared" si="25"/>
        <v>90.44267223214291</v>
      </c>
      <c r="X59" s="142" t="s">
        <v>117</v>
      </c>
    </row>
    <row r="60" spans="1:24" ht="13.75" customHeight="1">
      <c r="A60" s="155" t="s">
        <v>33</v>
      </c>
      <c r="B60" s="209">
        <v>0.03</v>
      </c>
      <c r="C60" s="210">
        <v>0.03</v>
      </c>
      <c r="D60" s="209">
        <f t="shared" si="15"/>
        <v>0.03</v>
      </c>
      <c r="E60" s="210">
        <f t="shared" si="16"/>
        <v>0.03</v>
      </c>
      <c r="F60" s="159">
        <f t="shared" si="22"/>
        <v>66.99874053469233</v>
      </c>
      <c r="G60" s="160">
        <f t="shared" si="22"/>
        <v>69.00870275073311</v>
      </c>
      <c r="H60" s="160">
        <f t="shared" si="22"/>
        <v>71.0789638332551</v>
      </c>
      <c r="I60" s="160">
        <f t="shared" si="22"/>
        <v>73.21133274825276</v>
      </c>
      <c r="J60" s="160">
        <f t="shared" si="22"/>
        <v>75.40767273070034</v>
      </c>
      <c r="K60" s="160">
        <f t="shared" si="22"/>
        <v>77.66990291262135</v>
      </c>
      <c r="L60" s="171">
        <v>80</v>
      </c>
      <c r="M60" s="160">
        <f t="shared" si="23"/>
        <v>82.4</v>
      </c>
      <c r="N60" s="160">
        <f t="shared" si="23"/>
        <v>84.87200000000001</v>
      </c>
      <c r="O60" s="160">
        <f t="shared" si="23"/>
        <v>87.41816000000001</v>
      </c>
      <c r="P60" s="160">
        <f t="shared" si="23"/>
        <v>90.04070480000001</v>
      </c>
      <c r="Q60" s="159">
        <f t="shared" si="24"/>
        <v>92.74192594400002</v>
      </c>
      <c r="R60" s="161">
        <f t="shared" si="24"/>
        <v>95.52418372232002</v>
      </c>
      <c r="S60" s="159">
        <f t="shared" si="25"/>
        <v>98.38990923398963</v>
      </c>
      <c r="T60" s="160">
        <f t="shared" si="25"/>
        <v>101.34160651100932</v>
      </c>
      <c r="U60" s="160">
        <f t="shared" si="25"/>
        <v>104.3818547063396</v>
      </c>
      <c r="V60" s="160">
        <f t="shared" si="25"/>
        <v>107.51331034752978</v>
      </c>
      <c r="W60" s="161">
        <f t="shared" si="25"/>
        <v>110.73870965795568</v>
      </c>
      <c r="X60" s="142" t="s">
        <v>118</v>
      </c>
    </row>
    <row r="61" spans="1:24" ht="13.75" customHeight="1">
      <c r="A61" s="155" t="s">
        <v>101</v>
      </c>
      <c r="B61" s="209">
        <v>0.1</v>
      </c>
      <c r="C61" s="210">
        <v>0.07</v>
      </c>
      <c r="D61" s="209">
        <f t="shared" si="15"/>
        <v>0.07</v>
      </c>
      <c r="E61" s="210">
        <f t="shared" si="16"/>
        <v>0.07</v>
      </c>
      <c r="F61" s="159">
        <f t="shared" si="22"/>
        <v>733.8161090699102</v>
      </c>
      <c r="G61" s="160">
        <f t="shared" si="22"/>
        <v>807.1977199769013</v>
      </c>
      <c r="H61" s="160">
        <f t="shared" si="22"/>
        <v>887.9174919745916</v>
      </c>
      <c r="I61" s="160">
        <f t="shared" si="22"/>
        <v>976.7092411720508</v>
      </c>
      <c r="J61" s="160">
        <f t="shared" si="22"/>
        <v>1074.380165289256</v>
      </c>
      <c r="K61" s="160">
        <f t="shared" si="22"/>
        <v>1181.8181818181818</v>
      </c>
      <c r="L61" s="190">
        <v>1300</v>
      </c>
      <c r="M61" s="160">
        <f t="shared" si="23"/>
        <v>1391</v>
      </c>
      <c r="N61" s="160">
        <f t="shared" si="23"/>
        <v>1488.3700000000001</v>
      </c>
      <c r="O61" s="160">
        <f t="shared" si="23"/>
        <v>1592.5559000000003</v>
      </c>
      <c r="P61" s="160">
        <f t="shared" si="23"/>
        <v>1704.0348130000004</v>
      </c>
      <c r="Q61" s="159">
        <f t="shared" si="24"/>
        <v>1823.3172499100006</v>
      </c>
      <c r="R61" s="161">
        <f t="shared" si="24"/>
        <v>1950.9494574037008</v>
      </c>
      <c r="S61" s="159">
        <f t="shared" si="25"/>
        <v>2087.51591942196</v>
      </c>
      <c r="T61" s="160">
        <f t="shared" si="25"/>
        <v>2233.6420337814975</v>
      </c>
      <c r="U61" s="160">
        <f t="shared" si="25"/>
        <v>2389.9969761462025</v>
      </c>
      <c r="V61" s="160">
        <f t="shared" si="25"/>
        <v>2557.2967644764367</v>
      </c>
      <c r="W61" s="161">
        <f t="shared" si="25"/>
        <v>2736.3075379897873</v>
      </c>
      <c r="X61" s="142" t="s">
        <v>110</v>
      </c>
    </row>
    <row r="62" spans="1:24" ht="15" customHeight="1">
      <c r="A62" s="178" t="s">
        <v>16</v>
      </c>
      <c r="B62" s="217">
        <v>0.03</v>
      </c>
      <c r="C62" s="218">
        <v>0.02</v>
      </c>
      <c r="D62" s="217">
        <f t="shared" si="15"/>
        <v>0.02</v>
      </c>
      <c r="E62" s="218">
        <f t="shared" si="16"/>
        <v>0.02</v>
      </c>
      <c r="F62" s="219">
        <f t="shared" si="22"/>
        <v>41.87421283418271</v>
      </c>
      <c r="G62" s="220">
        <f t="shared" si="22"/>
        <v>43.13043921920819</v>
      </c>
      <c r="H62" s="220">
        <f t="shared" si="22"/>
        <v>44.42435239578444</v>
      </c>
      <c r="I62" s="220">
        <f t="shared" si="22"/>
        <v>45.75708296765797</v>
      </c>
      <c r="J62" s="220">
        <f t="shared" si="22"/>
        <v>47.12979545668771</v>
      </c>
      <c r="K62" s="220">
        <f t="shared" si="22"/>
        <v>48.543689320388346</v>
      </c>
      <c r="L62" s="221">
        <v>50</v>
      </c>
      <c r="M62" s="220">
        <f t="shared" si="23"/>
        <v>51</v>
      </c>
      <c r="N62" s="220">
        <f t="shared" si="23"/>
        <v>52.02</v>
      </c>
      <c r="O62" s="220">
        <f t="shared" si="23"/>
        <v>53.0604</v>
      </c>
      <c r="P62" s="220">
        <f t="shared" si="23"/>
        <v>54.121608</v>
      </c>
      <c r="Q62" s="219">
        <f t="shared" si="24"/>
        <v>55.204040160000005</v>
      </c>
      <c r="R62" s="222">
        <f>Q62*(1+$D62)</f>
        <v>56.308120963200004</v>
      </c>
      <c r="S62" s="219">
        <f t="shared" si="25"/>
        <v>57.434283382464</v>
      </c>
      <c r="T62" s="220">
        <f t="shared" si="25"/>
        <v>58.582969050113284</v>
      </c>
      <c r="U62" s="220">
        <f t="shared" si="25"/>
        <v>59.75462843111555</v>
      </c>
      <c r="V62" s="220">
        <f t="shared" si="25"/>
        <v>60.94972099973786</v>
      </c>
      <c r="W62" s="222">
        <f t="shared" si="25"/>
        <v>62.16871541973262</v>
      </c>
      <c r="X62" s="142" t="s">
        <v>119</v>
      </c>
    </row>
    <row r="63" spans="1:23" ht="15" customHeight="1">
      <c r="A63" s="207"/>
      <c r="B63" s="207"/>
      <c r="C63" s="207"/>
      <c r="D63" s="207"/>
      <c r="E63" s="207"/>
      <c r="F63" s="142"/>
      <c r="G63" s="142"/>
      <c r="H63" s="142"/>
      <c r="I63" s="142"/>
      <c r="J63" s="142"/>
      <c r="K63" s="142"/>
      <c r="L63" s="142"/>
      <c r="M63" s="208"/>
      <c r="N63" s="208"/>
      <c r="O63" s="208"/>
      <c r="P63" s="208"/>
      <c r="Q63" s="208"/>
      <c r="R63" s="208"/>
      <c r="S63" s="208"/>
      <c r="T63" s="208"/>
      <c r="U63" s="208"/>
      <c r="V63" s="208"/>
      <c r="W63" s="208"/>
    </row>
    <row r="64" spans="1:23" ht="15" customHeight="1">
      <c r="A64" s="223"/>
      <c r="B64" s="223"/>
      <c r="C64" s="223"/>
      <c r="D64" s="223"/>
      <c r="E64" s="223"/>
      <c r="M64" s="208"/>
      <c r="N64" s="208"/>
      <c r="O64" s="208"/>
      <c r="P64" s="208"/>
      <c r="Q64" s="208"/>
      <c r="R64" s="208"/>
      <c r="S64" s="208"/>
      <c r="T64" s="208"/>
      <c r="U64" s="208"/>
      <c r="V64" s="208"/>
      <c r="W64" s="208"/>
    </row>
    <row r="65" spans="1:23" ht="30" customHeight="1">
      <c r="A65" s="151" t="s">
        <v>120</v>
      </c>
      <c r="B65" s="153" t="s">
        <v>354</v>
      </c>
      <c r="C65" s="154" t="s">
        <v>366</v>
      </c>
      <c r="D65" s="153" t="s">
        <v>72</v>
      </c>
      <c r="E65" s="154" t="s">
        <v>73</v>
      </c>
      <c r="F65" s="153">
        <v>2013</v>
      </c>
      <c r="G65" s="152">
        <v>2014</v>
      </c>
      <c r="H65" s="152">
        <v>2015</v>
      </c>
      <c r="I65" s="152">
        <v>2016</v>
      </c>
      <c r="J65" s="152">
        <v>2017</v>
      </c>
      <c r="K65" s="152">
        <v>2018</v>
      </c>
      <c r="L65" s="152">
        <v>2019</v>
      </c>
      <c r="M65" s="152">
        <v>2020</v>
      </c>
      <c r="N65" s="152">
        <v>2021</v>
      </c>
      <c r="O65" s="152">
        <v>2022</v>
      </c>
      <c r="P65" s="154">
        <v>2023</v>
      </c>
      <c r="Q65" s="153">
        <v>2024</v>
      </c>
      <c r="R65" s="154">
        <v>2025</v>
      </c>
      <c r="S65" s="153">
        <v>2026</v>
      </c>
      <c r="T65" s="152">
        <v>2027</v>
      </c>
      <c r="U65" s="152">
        <v>2028</v>
      </c>
      <c r="V65" s="152">
        <v>2029</v>
      </c>
      <c r="W65" s="154">
        <v>2030</v>
      </c>
    </row>
    <row r="66" spans="1:24" ht="15" customHeight="1">
      <c r="A66" s="155" t="s">
        <v>74</v>
      </c>
      <c r="B66" s="209">
        <v>0</v>
      </c>
      <c r="C66" s="210">
        <v>0</v>
      </c>
      <c r="D66" s="209">
        <f t="shared" si="15"/>
        <v>0</v>
      </c>
      <c r="E66" s="210">
        <f t="shared" si="16"/>
        <v>0</v>
      </c>
      <c r="F66" s="159">
        <f t="shared" si="22"/>
        <v>1551.7241379310346</v>
      </c>
      <c r="G66" s="160">
        <f t="shared" si="22"/>
        <v>1551.7241379310346</v>
      </c>
      <c r="H66" s="160">
        <f t="shared" si="22"/>
        <v>1551.7241379310346</v>
      </c>
      <c r="I66" s="160">
        <f t="shared" si="22"/>
        <v>1551.7241379310346</v>
      </c>
      <c r="J66" s="160">
        <f t="shared" si="22"/>
        <v>1551.7241379310346</v>
      </c>
      <c r="K66" s="160">
        <f>L66/(1+$B66)</f>
        <v>1551.7241379310346</v>
      </c>
      <c r="L66" s="171">
        <f aca="true" t="shared" si="27" ref="L66:L82">$L46/0.29</f>
        <v>1551.7241379310346</v>
      </c>
      <c r="M66" s="160">
        <f t="shared" si="23"/>
        <v>1551.7241379310346</v>
      </c>
      <c r="N66" s="160">
        <f t="shared" si="23"/>
        <v>1551.7241379310346</v>
      </c>
      <c r="O66" s="160">
        <f t="shared" si="23"/>
        <v>1551.7241379310346</v>
      </c>
      <c r="P66" s="161">
        <f t="shared" si="23"/>
        <v>1551.7241379310346</v>
      </c>
      <c r="Q66" s="159">
        <f t="shared" si="24"/>
        <v>1551.7241379310346</v>
      </c>
      <c r="R66" s="161">
        <f>Q66*(1+$D66)</f>
        <v>1551.7241379310346</v>
      </c>
      <c r="S66" s="159">
        <f t="shared" si="25"/>
        <v>1551.7241379310346</v>
      </c>
      <c r="T66" s="160">
        <f aca="true" t="shared" si="28" ref="T66:W66">S66*(1+$E66)</f>
        <v>1551.7241379310346</v>
      </c>
      <c r="U66" s="160">
        <f t="shared" si="28"/>
        <v>1551.7241379310346</v>
      </c>
      <c r="V66" s="160">
        <f t="shared" si="28"/>
        <v>1551.7241379310346</v>
      </c>
      <c r="W66" s="161">
        <f t="shared" si="28"/>
        <v>1551.7241379310346</v>
      </c>
      <c r="X66" s="142" t="s">
        <v>121</v>
      </c>
    </row>
    <row r="67" spans="1:24" ht="15" customHeight="1">
      <c r="A67" s="155" t="s">
        <v>76</v>
      </c>
      <c r="B67" s="209">
        <v>0.04</v>
      </c>
      <c r="C67" s="210">
        <v>0.05</v>
      </c>
      <c r="D67" s="209">
        <f t="shared" si="15"/>
        <v>0.05</v>
      </c>
      <c r="E67" s="210">
        <f t="shared" si="16"/>
        <v>0.05</v>
      </c>
      <c r="F67" s="159">
        <f t="shared" si="22"/>
        <v>1144.5934510574523</v>
      </c>
      <c r="G67" s="160">
        <f t="shared" si="22"/>
        <v>1190.3771890997505</v>
      </c>
      <c r="H67" s="160">
        <f t="shared" si="22"/>
        <v>1237.9922766637405</v>
      </c>
      <c r="I67" s="160">
        <f t="shared" si="22"/>
        <v>1287.5119677302903</v>
      </c>
      <c r="J67" s="160">
        <f t="shared" si="22"/>
        <v>1339.012446439502</v>
      </c>
      <c r="K67" s="160">
        <f t="shared" si="22"/>
        <v>1392.5729442970821</v>
      </c>
      <c r="L67" s="171">
        <f t="shared" si="27"/>
        <v>1448.2758620689656</v>
      </c>
      <c r="M67" s="160">
        <f t="shared" si="23"/>
        <v>1520.689655172414</v>
      </c>
      <c r="N67" s="160">
        <f t="shared" si="23"/>
        <v>1596.7241379310346</v>
      </c>
      <c r="O67" s="160">
        <f t="shared" si="23"/>
        <v>1676.5603448275865</v>
      </c>
      <c r="P67" s="161">
        <f t="shared" si="23"/>
        <v>1760.388362068966</v>
      </c>
      <c r="Q67" s="159">
        <f t="shared" si="24"/>
        <v>1848.4077801724143</v>
      </c>
      <c r="R67" s="161">
        <f t="shared" si="24"/>
        <v>1940.828169181035</v>
      </c>
      <c r="S67" s="159">
        <f t="shared" si="25"/>
        <v>2037.8695776400868</v>
      </c>
      <c r="T67" s="160">
        <f t="shared" si="25"/>
        <v>2139.763056522091</v>
      </c>
      <c r="U67" s="160">
        <f t="shared" si="25"/>
        <v>2246.751209348196</v>
      </c>
      <c r="V67" s="160">
        <f t="shared" si="25"/>
        <v>2359.0887698156057</v>
      </c>
      <c r="W67" s="161">
        <f t="shared" si="25"/>
        <v>2477.043208306386</v>
      </c>
      <c r="X67" s="142" t="s">
        <v>122</v>
      </c>
    </row>
    <row r="68" spans="1:27" ht="15" customHeight="1">
      <c r="A68" s="155" t="s">
        <v>78</v>
      </c>
      <c r="B68" s="209">
        <v>0</v>
      </c>
      <c r="C68" s="210">
        <v>0</v>
      </c>
      <c r="D68" s="209">
        <f t="shared" si="15"/>
        <v>0</v>
      </c>
      <c r="E68" s="210">
        <f t="shared" si="16"/>
        <v>0</v>
      </c>
      <c r="F68" s="159">
        <f t="shared" si="22"/>
        <v>1150</v>
      </c>
      <c r="G68" s="160">
        <f t="shared" si="22"/>
        <v>1150</v>
      </c>
      <c r="H68" s="160">
        <f t="shared" si="22"/>
        <v>1150</v>
      </c>
      <c r="I68" s="160">
        <f t="shared" si="22"/>
        <v>1150</v>
      </c>
      <c r="J68" s="160">
        <f t="shared" si="22"/>
        <v>1150</v>
      </c>
      <c r="K68" s="160">
        <f t="shared" si="22"/>
        <v>1150</v>
      </c>
      <c r="L68" s="171">
        <v>1150</v>
      </c>
      <c r="M68" s="160">
        <f t="shared" si="23"/>
        <v>1150</v>
      </c>
      <c r="N68" s="160">
        <f t="shared" si="23"/>
        <v>1150</v>
      </c>
      <c r="O68" s="160">
        <f t="shared" si="23"/>
        <v>1150</v>
      </c>
      <c r="P68" s="161">
        <f t="shared" si="23"/>
        <v>1150</v>
      </c>
      <c r="Q68" s="159">
        <f t="shared" si="24"/>
        <v>1150</v>
      </c>
      <c r="R68" s="161">
        <f t="shared" si="24"/>
        <v>1150</v>
      </c>
      <c r="S68" s="159">
        <f t="shared" si="25"/>
        <v>1150</v>
      </c>
      <c r="T68" s="160">
        <f t="shared" si="25"/>
        <v>1150</v>
      </c>
      <c r="U68" s="160">
        <f t="shared" si="25"/>
        <v>1150</v>
      </c>
      <c r="V68" s="160">
        <f t="shared" si="25"/>
        <v>1150</v>
      </c>
      <c r="W68" s="161">
        <f t="shared" si="25"/>
        <v>1150</v>
      </c>
      <c r="X68" s="142" t="s">
        <v>107</v>
      </c>
      <c r="Y68" s="142"/>
      <c r="Z68" s="142"/>
      <c r="AA68" s="142"/>
    </row>
    <row r="69" spans="1:24" ht="15" customHeight="1">
      <c r="A69" s="155" t="s">
        <v>79</v>
      </c>
      <c r="B69" s="209">
        <v>0.02</v>
      </c>
      <c r="C69" s="210">
        <v>0.02</v>
      </c>
      <c r="D69" s="209">
        <f t="shared" si="15"/>
        <v>0.02</v>
      </c>
      <c r="E69" s="210">
        <f t="shared" si="16"/>
        <v>0.02</v>
      </c>
      <c r="F69" s="159">
        <f t="shared" si="22"/>
        <v>765.4925708501655</v>
      </c>
      <c r="G69" s="160">
        <f t="shared" si="22"/>
        <v>780.8024222671688</v>
      </c>
      <c r="H69" s="160">
        <f t="shared" si="22"/>
        <v>796.4184707125122</v>
      </c>
      <c r="I69" s="160">
        <f t="shared" si="22"/>
        <v>812.3468401267625</v>
      </c>
      <c r="J69" s="160">
        <f t="shared" si="22"/>
        <v>828.5937769292977</v>
      </c>
      <c r="K69" s="160">
        <f t="shared" si="22"/>
        <v>845.1656524678837</v>
      </c>
      <c r="L69" s="171">
        <f t="shared" si="27"/>
        <v>862.0689655172414</v>
      </c>
      <c r="M69" s="160">
        <f t="shared" si="23"/>
        <v>879.3103448275863</v>
      </c>
      <c r="N69" s="160">
        <f t="shared" si="23"/>
        <v>896.896551724138</v>
      </c>
      <c r="O69" s="160">
        <f t="shared" si="23"/>
        <v>914.8344827586208</v>
      </c>
      <c r="P69" s="161">
        <f t="shared" si="23"/>
        <v>933.1311724137933</v>
      </c>
      <c r="Q69" s="159">
        <f t="shared" si="24"/>
        <v>951.7937958620691</v>
      </c>
      <c r="R69" s="161">
        <f t="shared" si="24"/>
        <v>970.8296717793105</v>
      </c>
      <c r="S69" s="159">
        <f t="shared" si="25"/>
        <v>990.2462652148968</v>
      </c>
      <c r="T69" s="160">
        <f t="shared" si="25"/>
        <v>1010.0511905191947</v>
      </c>
      <c r="U69" s="160">
        <f t="shared" si="25"/>
        <v>1030.2522143295787</v>
      </c>
      <c r="V69" s="160">
        <f t="shared" si="25"/>
        <v>1050.8572586161704</v>
      </c>
      <c r="W69" s="161">
        <f t="shared" si="25"/>
        <v>1071.8744037884937</v>
      </c>
      <c r="X69" s="142" t="s">
        <v>116</v>
      </c>
    </row>
    <row r="70" spans="1:24" ht="15" customHeight="1">
      <c r="A70" s="155" t="s">
        <v>81</v>
      </c>
      <c r="B70" s="209">
        <v>0</v>
      </c>
      <c r="C70" s="210">
        <v>-0.01</v>
      </c>
      <c r="D70" s="209">
        <f t="shared" si="15"/>
        <v>-0.01</v>
      </c>
      <c r="E70" s="210">
        <f t="shared" si="16"/>
        <v>-0.01</v>
      </c>
      <c r="F70" s="159">
        <f t="shared" si="22"/>
        <v>344.82758620689657</v>
      </c>
      <c r="G70" s="160">
        <f t="shared" si="22"/>
        <v>344.82758620689657</v>
      </c>
      <c r="H70" s="160">
        <f t="shared" si="22"/>
        <v>344.82758620689657</v>
      </c>
      <c r="I70" s="160">
        <f t="shared" si="22"/>
        <v>344.82758620689657</v>
      </c>
      <c r="J70" s="160">
        <f t="shared" si="22"/>
        <v>344.82758620689657</v>
      </c>
      <c r="K70" s="168">
        <f t="shared" si="22"/>
        <v>344.82758620689657</v>
      </c>
      <c r="L70" s="171">
        <f t="shared" si="27"/>
        <v>344.82758620689657</v>
      </c>
      <c r="M70" s="160">
        <f t="shared" si="23"/>
        <v>341.3793103448276</v>
      </c>
      <c r="N70" s="160">
        <f t="shared" si="23"/>
        <v>337.96551724137936</v>
      </c>
      <c r="O70" s="160">
        <f t="shared" si="23"/>
        <v>334.5858620689656</v>
      </c>
      <c r="P70" s="161">
        <f t="shared" si="23"/>
        <v>331.2400034482759</v>
      </c>
      <c r="Q70" s="159">
        <f t="shared" si="24"/>
        <v>327.9276034137931</v>
      </c>
      <c r="R70" s="161">
        <f t="shared" si="24"/>
        <v>324.6483273796552</v>
      </c>
      <c r="S70" s="159">
        <f t="shared" si="25"/>
        <v>321.40184410585863</v>
      </c>
      <c r="T70" s="160">
        <f t="shared" si="25"/>
        <v>318.1878256648</v>
      </c>
      <c r="U70" s="160">
        <f t="shared" si="25"/>
        <v>315.005947408152</v>
      </c>
      <c r="V70" s="160">
        <f t="shared" si="25"/>
        <v>311.8558879340705</v>
      </c>
      <c r="W70" s="161">
        <f t="shared" si="25"/>
        <v>308.7373290547298</v>
      </c>
      <c r="X70" s="142" t="s">
        <v>116</v>
      </c>
    </row>
    <row r="71" spans="1:24" ht="15" customHeight="1">
      <c r="A71" s="155" t="s">
        <v>30</v>
      </c>
      <c r="B71" s="209">
        <v>0.11</v>
      </c>
      <c r="C71" s="210">
        <v>0.06</v>
      </c>
      <c r="D71" s="209">
        <f t="shared" si="15"/>
        <v>0.06</v>
      </c>
      <c r="E71" s="210">
        <f t="shared" si="16"/>
        <v>0.06</v>
      </c>
      <c r="F71" s="159">
        <f t="shared" si="22"/>
        <v>156.70507264671477</v>
      </c>
      <c r="G71" s="160">
        <f t="shared" si="22"/>
        <v>173.9426306378534</v>
      </c>
      <c r="H71" s="160">
        <f t="shared" si="22"/>
        <v>193.0763200080173</v>
      </c>
      <c r="I71" s="160">
        <f t="shared" si="22"/>
        <v>214.3147152088992</v>
      </c>
      <c r="J71" s="160">
        <f t="shared" si="22"/>
        <v>237.88933388187814</v>
      </c>
      <c r="K71" s="160">
        <f t="shared" si="22"/>
        <v>264.0571606088848</v>
      </c>
      <c r="L71" s="171">
        <f t="shared" si="27"/>
        <v>293.1034482758621</v>
      </c>
      <c r="M71" s="160">
        <f t="shared" si="23"/>
        <v>310.68965517241384</v>
      </c>
      <c r="N71" s="160">
        <f t="shared" si="23"/>
        <v>329.3310344827587</v>
      </c>
      <c r="O71" s="160">
        <f t="shared" si="23"/>
        <v>349.09089655172426</v>
      </c>
      <c r="P71" s="161">
        <f t="shared" si="23"/>
        <v>370.0363503448277</v>
      </c>
      <c r="Q71" s="159">
        <f t="shared" si="24"/>
        <v>392.2385313655174</v>
      </c>
      <c r="R71" s="161">
        <f t="shared" si="24"/>
        <v>415.77284324744846</v>
      </c>
      <c r="S71" s="159">
        <f t="shared" si="25"/>
        <v>440.7192138422954</v>
      </c>
      <c r="T71" s="160">
        <f t="shared" si="25"/>
        <v>467.1623666728332</v>
      </c>
      <c r="U71" s="160">
        <f t="shared" si="25"/>
        <v>495.19210867320317</v>
      </c>
      <c r="V71" s="160">
        <f t="shared" si="25"/>
        <v>524.9036351935954</v>
      </c>
      <c r="W71" s="161">
        <f t="shared" si="25"/>
        <v>556.3978533052111</v>
      </c>
      <c r="X71" s="142" t="s">
        <v>123</v>
      </c>
    </row>
    <row r="72" spans="1:24" ht="15" customHeight="1">
      <c r="A72" s="155" t="s">
        <v>84</v>
      </c>
      <c r="B72" s="209">
        <v>0.1</v>
      </c>
      <c r="C72" s="210">
        <v>0.05</v>
      </c>
      <c r="D72" s="209">
        <f t="shared" si="15"/>
        <v>0.05</v>
      </c>
      <c r="E72" s="210">
        <f t="shared" si="16"/>
        <v>0.05</v>
      </c>
      <c r="F72" s="159">
        <f t="shared" si="22"/>
        <v>389.2923655543291</v>
      </c>
      <c r="G72" s="160">
        <f t="shared" si="22"/>
        <v>428.22160210976205</v>
      </c>
      <c r="H72" s="160">
        <f t="shared" si="22"/>
        <v>471.04376232073827</v>
      </c>
      <c r="I72" s="160">
        <f t="shared" si="22"/>
        <v>518.1481385528122</v>
      </c>
      <c r="J72" s="160">
        <f t="shared" si="22"/>
        <v>569.9629524080934</v>
      </c>
      <c r="K72" s="160">
        <f t="shared" si="22"/>
        <v>626.9592476489028</v>
      </c>
      <c r="L72" s="171">
        <f t="shared" si="27"/>
        <v>689.6551724137931</v>
      </c>
      <c r="M72" s="160">
        <f t="shared" si="23"/>
        <v>724.1379310344828</v>
      </c>
      <c r="N72" s="160">
        <f t="shared" si="23"/>
        <v>760.344827586207</v>
      </c>
      <c r="O72" s="160">
        <f t="shared" si="23"/>
        <v>798.3620689655173</v>
      </c>
      <c r="P72" s="161">
        <f t="shared" si="23"/>
        <v>838.2801724137933</v>
      </c>
      <c r="Q72" s="159">
        <f t="shared" si="24"/>
        <v>880.194181034483</v>
      </c>
      <c r="R72" s="161">
        <f t="shared" si="24"/>
        <v>924.2038900862071</v>
      </c>
      <c r="S72" s="159">
        <f t="shared" si="25"/>
        <v>970.4140845905175</v>
      </c>
      <c r="T72" s="160">
        <f t="shared" si="25"/>
        <v>1018.9347888200434</v>
      </c>
      <c r="U72" s="160">
        <f t="shared" si="25"/>
        <v>1069.8815282610456</v>
      </c>
      <c r="V72" s="160">
        <f t="shared" si="25"/>
        <v>1123.375604674098</v>
      </c>
      <c r="W72" s="161">
        <f t="shared" si="25"/>
        <v>1179.5443849078029</v>
      </c>
      <c r="X72" s="142" t="s">
        <v>116</v>
      </c>
    </row>
    <row r="73" spans="1:24" ht="15" customHeight="1">
      <c r="A73" s="155" t="s">
        <v>86</v>
      </c>
      <c r="B73" s="209">
        <v>0</v>
      </c>
      <c r="C73" s="210">
        <v>0</v>
      </c>
      <c r="D73" s="209">
        <f t="shared" si="15"/>
        <v>0</v>
      </c>
      <c r="E73" s="210">
        <f t="shared" si="16"/>
        <v>0</v>
      </c>
      <c r="F73" s="159">
        <f t="shared" si="22"/>
        <v>68.96551724137932</v>
      </c>
      <c r="G73" s="160">
        <f t="shared" si="22"/>
        <v>68.96551724137932</v>
      </c>
      <c r="H73" s="160">
        <f t="shared" si="22"/>
        <v>68.96551724137932</v>
      </c>
      <c r="I73" s="160">
        <f t="shared" si="22"/>
        <v>68.96551724137932</v>
      </c>
      <c r="J73" s="160">
        <f t="shared" si="22"/>
        <v>68.96551724137932</v>
      </c>
      <c r="K73" s="160">
        <f t="shared" si="22"/>
        <v>68.96551724137932</v>
      </c>
      <c r="L73" s="171">
        <f t="shared" si="27"/>
        <v>68.96551724137932</v>
      </c>
      <c r="M73" s="160">
        <f t="shared" si="23"/>
        <v>68.96551724137932</v>
      </c>
      <c r="N73" s="160">
        <f t="shared" si="23"/>
        <v>68.96551724137932</v>
      </c>
      <c r="O73" s="160">
        <f t="shared" si="23"/>
        <v>68.96551724137932</v>
      </c>
      <c r="P73" s="161">
        <f t="shared" si="23"/>
        <v>68.96551724137932</v>
      </c>
      <c r="Q73" s="159">
        <f t="shared" si="24"/>
        <v>68.96551724137932</v>
      </c>
      <c r="R73" s="161">
        <f t="shared" si="24"/>
        <v>68.96551724137932</v>
      </c>
      <c r="S73" s="159">
        <f t="shared" si="25"/>
        <v>68.96551724137932</v>
      </c>
      <c r="T73" s="160">
        <f t="shared" si="25"/>
        <v>68.96551724137932</v>
      </c>
      <c r="U73" s="160">
        <f t="shared" si="25"/>
        <v>68.96551724137932</v>
      </c>
      <c r="V73" s="160">
        <f t="shared" si="25"/>
        <v>68.96551724137932</v>
      </c>
      <c r="W73" s="161">
        <f t="shared" si="25"/>
        <v>68.96551724137932</v>
      </c>
      <c r="X73" s="142" t="s">
        <v>97</v>
      </c>
    </row>
    <row r="74" spans="1:24" ht="15" customHeight="1">
      <c r="A74" s="212" t="s">
        <v>88</v>
      </c>
      <c r="B74" s="213">
        <v>0.05</v>
      </c>
      <c r="C74" s="214">
        <v>0.05</v>
      </c>
      <c r="D74" s="209">
        <f t="shared" si="15"/>
        <v>0.05</v>
      </c>
      <c r="E74" s="210">
        <f t="shared" si="16"/>
        <v>0.05</v>
      </c>
      <c r="F74" s="159">
        <f t="shared" si="22"/>
        <v>3.859734810189453</v>
      </c>
      <c r="G74" s="160">
        <f t="shared" si="22"/>
        <v>4.052721550698926</v>
      </c>
      <c r="H74" s="160">
        <f t="shared" si="22"/>
        <v>4.255357628233872</v>
      </c>
      <c r="I74" s="160">
        <f t="shared" si="22"/>
        <v>4.468125509645565</v>
      </c>
      <c r="J74" s="160">
        <f t="shared" si="22"/>
        <v>4.691531785127844</v>
      </c>
      <c r="K74" s="160">
        <f t="shared" si="22"/>
        <v>4.926108374384237</v>
      </c>
      <c r="L74" s="171">
        <f t="shared" si="27"/>
        <v>5.172413793103448</v>
      </c>
      <c r="M74" s="160">
        <f t="shared" si="23"/>
        <v>5.431034482758621</v>
      </c>
      <c r="N74" s="160">
        <f t="shared" si="23"/>
        <v>5.7025862068965525</v>
      </c>
      <c r="O74" s="160">
        <f t="shared" si="23"/>
        <v>5.98771551724138</v>
      </c>
      <c r="P74" s="161">
        <f t="shared" si="23"/>
        <v>6.287101293103449</v>
      </c>
      <c r="Q74" s="159">
        <f t="shared" si="24"/>
        <v>6.601456357758622</v>
      </c>
      <c r="R74" s="161">
        <f t="shared" si="24"/>
        <v>6.931529175646553</v>
      </c>
      <c r="S74" s="159">
        <f t="shared" si="25"/>
        <v>7.278105634428881</v>
      </c>
      <c r="T74" s="160">
        <f t="shared" si="25"/>
        <v>7.642010916150325</v>
      </c>
      <c r="U74" s="160">
        <f t="shared" si="25"/>
        <v>8.024111461957842</v>
      </c>
      <c r="V74" s="160">
        <f t="shared" si="25"/>
        <v>8.425317035055734</v>
      </c>
      <c r="W74" s="161">
        <f t="shared" si="25"/>
        <v>8.846582886808521</v>
      </c>
      <c r="X74" s="142" t="s">
        <v>97</v>
      </c>
    </row>
    <row r="75" spans="1:27" ht="15" customHeight="1">
      <c r="A75" s="155" t="s">
        <v>90</v>
      </c>
      <c r="B75" s="209">
        <v>0.1</v>
      </c>
      <c r="C75" s="210">
        <v>0.08</v>
      </c>
      <c r="D75" s="209">
        <f t="shared" si="15"/>
        <v>0.08</v>
      </c>
      <c r="E75" s="210">
        <f t="shared" si="16"/>
        <v>0.08</v>
      </c>
      <c r="F75" s="159">
        <f t="shared" si="22"/>
        <v>1919.2113621828419</v>
      </c>
      <c r="G75" s="160">
        <f t="shared" si="22"/>
        <v>2111.132498401126</v>
      </c>
      <c r="H75" s="160">
        <f t="shared" si="22"/>
        <v>2322.245748241239</v>
      </c>
      <c r="I75" s="160">
        <f t="shared" si="22"/>
        <v>2554.4703230653636</v>
      </c>
      <c r="J75" s="160">
        <f t="shared" si="22"/>
        <v>2809.9173553719</v>
      </c>
      <c r="K75" s="160">
        <f t="shared" si="22"/>
        <v>3090.9090909090905</v>
      </c>
      <c r="L75" s="190">
        <v>3400</v>
      </c>
      <c r="M75" s="160">
        <f t="shared" si="23"/>
        <v>3672.0000000000005</v>
      </c>
      <c r="N75" s="160">
        <f t="shared" si="23"/>
        <v>3965.7600000000007</v>
      </c>
      <c r="O75" s="160">
        <f t="shared" si="23"/>
        <v>4283.020800000001</v>
      </c>
      <c r="P75" s="161">
        <f t="shared" si="23"/>
        <v>4625.662464000002</v>
      </c>
      <c r="Q75" s="159">
        <f t="shared" si="24"/>
        <v>4995.715461120002</v>
      </c>
      <c r="R75" s="161">
        <f t="shared" si="24"/>
        <v>5395.372698009603</v>
      </c>
      <c r="S75" s="159">
        <f t="shared" si="25"/>
        <v>5827.0025138503715</v>
      </c>
      <c r="T75" s="160">
        <f t="shared" si="25"/>
        <v>6293.162714958402</v>
      </c>
      <c r="U75" s="160">
        <f t="shared" si="25"/>
        <v>6796.6157321550745</v>
      </c>
      <c r="V75" s="160">
        <f t="shared" si="25"/>
        <v>7340.344990727481</v>
      </c>
      <c r="W75" s="161">
        <f t="shared" si="25"/>
        <v>7927.57258998568</v>
      </c>
      <c r="X75" s="142" t="s">
        <v>107</v>
      </c>
      <c r="Y75" s="142"/>
      <c r="Z75" s="142"/>
      <c r="AA75" s="142"/>
    </row>
    <row r="76" spans="1:24" ht="15" customHeight="1">
      <c r="A76" s="155" t="s">
        <v>92</v>
      </c>
      <c r="B76" s="209">
        <v>0</v>
      </c>
      <c r="C76" s="210">
        <v>0</v>
      </c>
      <c r="D76" s="209">
        <f t="shared" si="15"/>
        <v>0</v>
      </c>
      <c r="E76" s="210">
        <f t="shared" si="16"/>
        <v>0</v>
      </c>
      <c r="F76" s="159">
        <f t="shared" si="22"/>
        <v>241.37931034482762</v>
      </c>
      <c r="G76" s="160">
        <f t="shared" si="22"/>
        <v>241.37931034482762</v>
      </c>
      <c r="H76" s="160">
        <f t="shared" si="22"/>
        <v>241.37931034482762</v>
      </c>
      <c r="I76" s="160">
        <f t="shared" si="22"/>
        <v>241.37931034482762</v>
      </c>
      <c r="J76" s="160">
        <f t="shared" si="22"/>
        <v>241.37931034482762</v>
      </c>
      <c r="K76" s="160">
        <f t="shared" si="22"/>
        <v>241.37931034482762</v>
      </c>
      <c r="L76" s="171">
        <f t="shared" si="27"/>
        <v>241.37931034482762</v>
      </c>
      <c r="M76" s="160">
        <f t="shared" si="23"/>
        <v>241.37931034482762</v>
      </c>
      <c r="N76" s="160">
        <f t="shared" si="23"/>
        <v>241.37931034482762</v>
      </c>
      <c r="O76" s="160">
        <f t="shared" si="23"/>
        <v>241.37931034482762</v>
      </c>
      <c r="P76" s="161">
        <f t="shared" si="23"/>
        <v>241.37931034482762</v>
      </c>
      <c r="Q76" s="159">
        <f t="shared" si="24"/>
        <v>241.37931034482762</v>
      </c>
      <c r="R76" s="161">
        <f t="shared" si="24"/>
        <v>241.37931034482762</v>
      </c>
      <c r="S76" s="159">
        <f t="shared" si="25"/>
        <v>241.37931034482762</v>
      </c>
      <c r="T76" s="160">
        <f t="shared" si="25"/>
        <v>241.37931034482762</v>
      </c>
      <c r="U76" s="160">
        <f t="shared" si="25"/>
        <v>241.37931034482762</v>
      </c>
      <c r="V76" s="160">
        <f t="shared" si="25"/>
        <v>241.37931034482762</v>
      </c>
      <c r="W76" s="161">
        <f t="shared" si="25"/>
        <v>241.37931034482762</v>
      </c>
      <c r="X76" s="142" t="s">
        <v>111</v>
      </c>
    </row>
    <row r="77" spans="1:24" ht="15" customHeight="1">
      <c r="A77" s="155" t="s">
        <v>94</v>
      </c>
      <c r="B77" s="209">
        <v>0</v>
      </c>
      <c r="C77" s="210">
        <v>0</v>
      </c>
      <c r="D77" s="209">
        <f t="shared" si="15"/>
        <v>0</v>
      </c>
      <c r="E77" s="210">
        <f t="shared" si="16"/>
        <v>0</v>
      </c>
      <c r="F77" s="159">
        <f t="shared" si="22"/>
        <v>413.7931034482759</v>
      </c>
      <c r="G77" s="160">
        <f t="shared" si="22"/>
        <v>413.7931034482759</v>
      </c>
      <c r="H77" s="160">
        <f t="shared" si="22"/>
        <v>413.7931034482759</v>
      </c>
      <c r="I77" s="160">
        <f t="shared" si="22"/>
        <v>413.7931034482759</v>
      </c>
      <c r="J77" s="160">
        <f t="shared" si="22"/>
        <v>413.7931034482759</v>
      </c>
      <c r="K77" s="160">
        <f t="shared" si="22"/>
        <v>413.7931034482759</v>
      </c>
      <c r="L77" s="171">
        <f t="shared" si="27"/>
        <v>413.7931034482759</v>
      </c>
      <c r="M77" s="160">
        <f t="shared" si="23"/>
        <v>413.7931034482759</v>
      </c>
      <c r="N77" s="160">
        <f t="shared" si="23"/>
        <v>413.7931034482759</v>
      </c>
      <c r="O77" s="160">
        <f t="shared" si="23"/>
        <v>413.7931034482759</v>
      </c>
      <c r="P77" s="161">
        <f t="shared" si="23"/>
        <v>413.7931034482759</v>
      </c>
      <c r="Q77" s="159">
        <f t="shared" si="24"/>
        <v>413.7931034482759</v>
      </c>
      <c r="R77" s="161">
        <f t="shared" si="24"/>
        <v>413.7931034482759</v>
      </c>
      <c r="S77" s="159">
        <f t="shared" si="25"/>
        <v>413.7931034482759</v>
      </c>
      <c r="T77" s="160">
        <f t="shared" si="25"/>
        <v>413.7931034482759</v>
      </c>
      <c r="U77" s="160">
        <f t="shared" si="25"/>
        <v>413.7931034482759</v>
      </c>
      <c r="V77" s="160">
        <f>U77*(1+$E77)</f>
        <v>413.7931034482759</v>
      </c>
      <c r="W77" s="161">
        <f t="shared" si="25"/>
        <v>413.7931034482759</v>
      </c>
      <c r="X77" s="142" t="s">
        <v>111</v>
      </c>
    </row>
    <row r="78" spans="1:24" ht="15" customHeight="1">
      <c r="A78" s="155" t="s">
        <v>96</v>
      </c>
      <c r="B78" s="209">
        <v>0</v>
      </c>
      <c r="C78" s="210">
        <v>0</v>
      </c>
      <c r="D78" s="209">
        <f t="shared" si="15"/>
        <v>0</v>
      </c>
      <c r="E78" s="210">
        <f t="shared" si="16"/>
        <v>0</v>
      </c>
      <c r="F78" s="159">
        <f t="shared" si="22"/>
        <v>413.7931034482759</v>
      </c>
      <c r="G78" s="160">
        <f t="shared" si="22"/>
        <v>413.7931034482759</v>
      </c>
      <c r="H78" s="160">
        <f t="shared" si="22"/>
        <v>413.7931034482759</v>
      </c>
      <c r="I78" s="160">
        <f t="shared" si="22"/>
        <v>413.7931034482759</v>
      </c>
      <c r="J78" s="160">
        <f t="shared" si="22"/>
        <v>413.7931034482759</v>
      </c>
      <c r="K78" s="160">
        <f t="shared" si="22"/>
        <v>413.7931034482759</v>
      </c>
      <c r="L78" s="171">
        <f t="shared" si="27"/>
        <v>413.7931034482759</v>
      </c>
      <c r="M78" s="160">
        <f t="shared" si="23"/>
        <v>413.7931034482759</v>
      </c>
      <c r="N78" s="160">
        <f t="shared" si="23"/>
        <v>413.7931034482759</v>
      </c>
      <c r="O78" s="160">
        <f t="shared" si="23"/>
        <v>413.7931034482759</v>
      </c>
      <c r="P78" s="161">
        <f t="shared" si="23"/>
        <v>413.7931034482759</v>
      </c>
      <c r="Q78" s="159">
        <f t="shared" si="24"/>
        <v>413.7931034482759</v>
      </c>
      <c r="R78" s="161">
        <f t="shared" si="24"/>
        <v>413.7931034482759</v>
      </c>
      <c r="S78" s="159">
        <f t="shared" si="25"/>
        <v>413.7931034482759</v>
      </c>
      <c r="T78" s="160">
        <f t="shared" si="25"/>
        <v>413.7931034482759</v>
      </c>
      <c r="U78" s="160">
        <f t="shared" si="25"/>
        <v>413.7931034482759</v>
      </c>
      <c r="V78" s="160">
        <f t="shared" si="25"/>
        <v>413.7931034482759</v>
      </c>
      <c r="W78" s="161">
        <f t="shared" si="25"/>
        <v>413.7931034482759</v>
      </c>
      <c r="X78" s="142" t="s">
        <v>97</v>
      </c>
    </row>
    <row r="79" spans="1:24" ht="15" customHeight="1">
      <c r="A79" s="155" t="s">
        <v>5</v>
      </c>
      <c r="B79" s="209">
        <v>0.01</v>
      </c>
      <c r="C79" s="210">
        <v>0.04</v>
      </c>
      <c r="D79" s="423">
        <f>'Input - Hyp CAGR MetaMetaverse'!I6</f>
        <v>0.08</v>
      </c>
      <c r="E79" s="424">
        <f>'Input - Hyp CAGR MetaMetaverse'!I6</f>
        <v>0.08</v>
      </c>
      <c r="F79" s="159">
        <f t="shared" si="22"/>
        <v>162.42159228520805</v>
      </c>
      <c r="G79" s="160">
        <f t="shared" si="22"/>
        <v>164.04580820806012</v>
      </c>
      <c r="H79" s="160">
        <f t="shared" si="22"/>
        <v>165.68626629014074</v>
      </c>
      <c r="I79" s="160">
        <f t="shared" si="22"/>
        <v>167.34312895304214</v>
      </c>
      <c r="J79" s="160">
        <f t="shared" si="22"/>
        <v>169.01656024257255</v>
      </c>
      <c r="K79" s="160">
        <f t="shared" si="22"/>
        <v>170.7067258449983</v>
      </c>
      <c r="L79" s="171">
        <f t="shared" si="27"/>
        <v>172.41379310344828</v>
      </c>
      <c r="M79" s="160">
        <f t="shared" si="23"/>
        <v>179.31034482758622</v>
      </c>
      <c r="N79" s="160">
        <f t="shared" si="23"/>
        <v>186.48275862068968</v>
      </c>
      <c r="O79" s="160">
        <f t="shared" si="23"/>
        <v>193.94206896551728</v>
      </c>
      <c r="P79" s="161">
        <f t="shared" si="23"/>
        <v>201.69975172413797</v>
      </c>
      <c r="Q79" s="159">
        <f t="shared" si="24"/>
        <v>217.83573186206903</v>
      </c>
      <c r="R79" s="161">
        <f t="shared" si="24"/>
        <v>235.26259041103455</v>
      </c>
      <c r="S79" s="159">
        <f t="shared" si="25"/>
        <v>254.08359764391733</v>
      </c>
      <c r="T79" s="160">
        <f t="shared" si="25"/>
        <v>274.4102854554307</v>
      </c>
      <c r="U79" s="160">
        <f t="shared" si="25"/>
        <v>296.36310829186516</v>
      </c>
      <c r="V79" s="160">
        <f t="shared" si="25"/>
        <v>320.0721569552144</v>
      </c>
      <c r="W79" s="161">
        <f t="shared" si="25"/>
        <v>345.67792951163153</v>
      </c>
      <c r="X79" s="142" t="s">
        <v>124</v>
      </c>
    </row>
    <row r="80" spans="1:24" ht="14.4" customHeight="1">
      <c r="A80" s="155" t="s">
        <v>33</v>
      </c>
      <c r="B80" s="209">
        <v>0.03</v>
      </c>
      <c r="C80" s="210">
        <v>0.04</v>
      </c>
      <c r="D80" s="209">
        <f t="shared" si="15"/>
        <v>0.04</v>
      </c>
      <c r="E80" s="210">
        <f t="shared" si="16"/>
        <v>0.04</v>
      </c>
      <c r="F80" s="159">
        <f t="shared" si="22"/>
        <v>231.03013977480123</v>
      </c>
      <c r="G80" s="160">
        <f t="shared" si="22"/>
        <v>237.96104396804526</v>
      </c>
      <c r="H80" s="160">
        <f t="shared" si="22"/>
        <v>245.09987528708663</v>
      </c>
      <c r="I80" s="160">
        <f t="shared" si="22"/>
        <v>252.45287154569922</v>
      </c>
      <c r="J80" s="160">
        <f t="shared" si="22"/>
        <v>260.0264576920702</v>
      </c>
      <c r="K80" s="160">
        <f t="shared" si="22"/>
        <v>267.8272514228323</v>
      </c>
      <c r="L80" s="171">
        <f t="shared" si="27"/>
        <v>275.86206896551727</v>
      </c>
      <c r="M80" s="160">
        <f t="shared" si="23"/>
        <v>286.89655172413796</v>
      </c>
      <c r="N80" s="160">
        <f t="shared" si="23"/>
        <v>298.3724137931035</v>
      </c>
      <c r="O80" s="160">
        <f t="shared" si="23"/>
        <v>310.3073103448276</v>
      </c>
      <c r="P80" s="161">
        <f t="shared" si="23"/>
        <v>322.71960275862074</v>
      </c>
      <c r="Q80" s="159">
        <f t="shared" si="24"/>
        <v>335.6283868689656</v>
      </c>
      <c r="R80" s="161">
        <f t="shared" si="24"/>
        <v>349.05352234372424</v>
      </c>
      <c r="S80" s="159">
        <f t="shared" si="25"/>
        <v>363.01566323747323</v>
      </c>
      <c r="T80" s="160">
        <f t="shared" si="25"/>
        <v>377.5362897669722</v>
      </c>
      <c r="U80" s="160">
        <f t="shared" si="25"/>
        <v>392.63774135765107</v>
      </c>
      <c r="V80" s="160">
        <f t="shared" si="25"/>
        <v>408.34325101195714</v>
      </c>
      <c r="W80" s="161">
        <f t="shared" si="25"/>
        <v>424.67698105243545</v>
      </c>
      <c r="X80" s="142" t="s">
        <v>97</v>
      </c>
    </row>
    <row r="81" spans="1:24" ht="15" customHeight="1">
      <c r="A81" s="155" t="s">
        <v>101</v>
      </c>
      <c r="B81" s="209">
        <v>0.1</v>
      </c>
      <c r="C81" s="210">
        <v>0.08</v>
      </c>
      <c r="D81" s="209">
        <f t="shared" si="15"/>
        <v>0.08</v>
      </c>
      <c r="E81" s="210">
        <f t="shared" si="16"/>
        <v>0.08</v>
      </c>
      <c r="F81" s="159">
        <f t="shared" si="22"/>
        <v>2530.400376103139</v>
      </c>
      <c r="G81" s="160">
        <f t="shared" si="22"/>
        <v>2783.440413713453</v>
      </c>
      <c r="H81" s="160">
        <f t="shared" si="22"/>
        <v>3061.7844550847985</v>
      </c>
      <c r="I81" s="160">
        <f t="shared" si="22"/>
        <v>3367.962900593279</v>
      </c>
      <c r="J81" s="160">
        <f t="shared" si="22"/>
        <v>3704.7591906526072</v>
      </c>
      <c r="K81" s="160">
        <f t="shared" si="22"/>
        <v>4075.2351097178685</v>
      </c>
      <c r="L81" s="171">
        <f t="shared" si="27"/>
        <v>4482.758620689656</v>
      </c>
      <c r="M81" s="160">
        <f t="shared" si="23"/>
        <v>4841.379310344829</v>
      </c>
      <c r="N81" s="160">
        <f t="shared" si="23"/>
        <v>5228.689655172416</v>
      </c>
      <c r="O81" s="160">
        <f t="shared" si="23"/>
        <v>5646.98482758621</v>
      </c>
      <c r="P81" s="161">
        <f t="shared" si="23"/>
        <v>6098.743613793106</v>
      </c>
      <c r="Q81" s="159">
        <f t="shared" si="24"/>
        <v>6586.643102896555</v>
      </c>
      <c r="R81" s="161">
        <f t="shared" si="24"/>
        <v>7113.57455112828</v>
      </c>
      <c r="S81" s="159">
        <f t="shared" si="25"/>
        <v>7682.660515218543</v>
      </c>
      <c r="T81" s="160">
        <f t="shared" si="25"/>
        <v>8297.273356436028</v>
      </c>
      <c r="U81" s="160">
        <f t="shared" si="25"/>
        <v>8961.055224950911</v>
      </c>
      <c r="V81" s="160">
        <f t="shared" si="25"/>
        <v>9677.939642946985</v>
      </c>
      <c r="W81" s="161">
        <f t="shared" si="25"/>
        <v>10452.174814382744</v>
      </c>
      <c r="X81" s="142" t="s">
        <v>125</v>
      </c>
    </row>
    <row r="82" spans="1:24" ht="15" customHeight="1">
      <c r="A82" s="178" t="s">
        <v>16</v>
      </c>
      <c r="B82" s="217">
        <v>0.03</v>
      </c>
      <c r="C82" s="218">
        <v>0.03</v>
      </c>
      <c r="D82" s="217">
        <f t="shared" si="15"/>
        <v>0.03</v>
      </c>
      <c r="E82" s="218">
        <f t="shared" si="16"/>
        <v>0.03</v>
      </c>
      <c r="F82" s="219">
        <f t="shared" si="22"/>
        <v>144.39383735925077</v>
      </c>
      <c r="G82" s="220">
        <f t="shared" si="22"/>
        <v>148.7256524800283</v>
      </c>
      <c r="H82" s="220">
        <f t="shared" si="22"/>
        <v>153.18742205442913</v>
      </c>
      <c r="I82" s="220">
        <f t="shared" si="22"/>
        <v>157.78304471606202</v>
      </c>
      <c r="J82" s="220">
        <f t="shared" si="22"/>
        <v>162.51653605754387</v>
      </c>
      <c r="K82" s="220">
        <f t="shared" si="22"/>
        <v>167.39203213927019</v>
      </c>
      <c r="L82" s="221">
        <f t="shared" si="27"/>
        <v>172.41379310344828</v>
      </c>
      <c r="M82" s="220">
        <f t="shared" si="23"/>
        <v>177.58620689655174</v>
      </c>
      <c r="N82" s="220">
        <f t="shared" si="23"/>
        <v>182.9137931034483</v>
      </c>
      <c r="O82" s="220">
        <f t="shared" si="23"/>
        <v>188.40120689655177</v>
      </c>
      <c r="P82" s="222">
        <f t="shared" si="23"/>
        <v>194.05324310344832</v>
      </c>
      <c r="Q82" s="219">
        <f t="shared" si="24"/>
        <v>199.87484039655178</v>
      </c>
      <c r="R82" s="222">
        <f t="shared" si="24"/>
        <v>205.87108560844834</v>
      </c>
      <c r="S82" s="219">
        <f t="shared" si="25"/>
        <v>212.0472181767018</v>
      </c>
      <c r="T82" s="220">
        <f t="shared" si="25"/>
        <v>218.40863472200286</v>
      </c>
      <c r="U82" s="220">
        <f t="shared" si="25"/>
        <v>224.96089376366294</v>
      </c>
      <c r="V82" s="220">
        <f t="shared" si="25"/>
        <v>231.70972057657283</v>
      </c>
      <c r="W82" s="222">
        <f t="shared" si="25"/>
        <v>238.66101219387002</v>
      </c>
      <c r="X82" s="142" t="s">
        <v>97</v>
      </c>
    </row>
    <row r="83" spans="1:24" ht="25.25" customHeight="1">
      <c r="A83" s="236"/>
      <c r="B83" s="237"/>
      <c r="C83" s="416"/>
      <c r="D83" s="416"/>
      <c r="E83" s="416"/>
      <c r="F83" s="417"/>
      <c r="G83" s="238"/>
      <c r="H83" s="238"/>
      <c r="I83" s="238"/>
      <c r="J83" s="417"/>
      <c r="K83" s="417"/>
      <c r="L83" s="239"/>
      <c r="M83" s="238"/>
      <c r="N83" s="238"/>
      <c r="O83" s="238"/>
      <c r="P83" s="238"/>
      <c r="Q83" s="238"/>
      <c r="R83" s="238"/>
      <c r="S83" s="238"/>
      <c r="T83" s="238"/>
      <c r="U83" s="238"/>
      <c r="V83" s="238"/>
      <c r="W83" s="238"/>
      <c r="X83" s="142"/>
    </row>
    <row r="84" spans="1:24" ht="27.75" customHeight="1">
      <c r="A84" s="151" t="s">
        <v>126</v>
      </c>
      <c r="B84" s="153" t="s">
        <v>354</v>
      </c>
      <c r="C84" s="154" t="s">
        <v>366</v>
      </c>
      <c r="D84" s="153" t="s">
        <v>72</v>
      </c>
      <c r="E84" s="154" t="s">
        <v>73</v>
      </c>
      <c r="F84" s="153">
        <v>2013</v>
      </c>
      <c r="G84" s="152">
        <v>2014</v>
      </c>
      <c r="H84" s="152">
        <v>2015</v>
      </c>
      <c r="I84" s="152">
        <v>2016</v>
      </c>
      <c r="J84" s="152">
        <v>2017</v>
      </c>
      <c r="K84" s="152">
        <v>2018</v>
      </c>
      <c r="L84" s="152">
        <v>2019</v>
      </c>
      <c r="M84" s="152">
        <v>2020</v>
      </c>
      <c r="N84" s="152">
        <v>2021</v>
      </c>
      <c r="O84" s="152">
        <v>2022</v>
      </c>
      <c r="P84" s="154">
        <v>2023</v>
      </c>
      <c r="Q84" s="153">
        <v>2024</v>
      </c>
      <c r="R84" s="154">
        <v>2025</v>
      </c>
      <c r="S84" s="153">
        <v>2026</v>
      </c>
      <c r="T84" s="152">
        <v>2027</v>
      </c>
      <c r="U84" s="152">
        <v>2028</v>
      </c>
      <c r="V84" s="152">
        <v>2029</v>
      </c>
      <c r="W84" s="154">
        <v>2030</v>
      </c>
      <c r="X84" s="142"/>
    </row>
    <row r="85" spans="1:24" ht="15" customHeight="1">
      <c r="A85" s="155" t="s">
        <v>74</v>
      </c>
      <c r="B85" s="209">
        <v>-0.05</v>
      </c>
      <c r="C85" s="210">
        <v>-0.01</v>
      </c>
      <c r="D85" s="209">
        <f t="shared" si="15"/>
        <v>-0.01</v>
      </c>
      <c r="E85" s="210">
        <f t="shared" si="16"/>
        <v>-0.01</v>
      </c>
      <c r="F85" s="159">
        <f t="shared" si="22"/>
        <v>635.2947243139098</v>
      </c>
      <c r="G85" s="160">
        <f aca="true" t="shared" si="29" ref="G85:K86">H85/(1+$B85)</f>
        <v>603.5299880982143</v>
      </c>
      <c r="H85" s="171">
        <f t="shared" si="29"/>
        <v>573.3534886933036</v>
      </c>
      <c r="I85" s="160">
        <f t="shared" si="29"/>
        <v>544.6858142586384</v>
      </c>
      <c r="J85" s="160">
        <f t="shared" si="29"/>
        <v>517.4515235457064</v>
      </c>
      <c r="K85" s="160">
        <f t="shared" si="29"/>
        <v>491.5789473684211</v>
      </c>
      <c r="L85" s="168">
        <v>467</v>
      </c>
      <c r="M85" s="160">
        <f t="shared" si="23"/>
        <v>462.33</v>
      </c>
      <c r="N85" s="160">
        <f t="shared" si="23"/>
        <v>457.70669999999996</v>
      </c>
      <c r="O85" s="168">
        <f t="shared" si="23"/>
        <v>453.12963299999996</v>
      </c>
      <c r="P85" s="169">
        <f t="shared" si="23"/>
        <v>448.5983366699999</v>
      </c>
      <c r="Q85" s="170">
        <f t="shared" si="24"/>
        <v>444.1123533032999</v>
      </c>
      <c r="R85" s="169">
        <f>Q85*(1+$D85)</f>
        <v>439.6712297702669</v>
      </c>
      <c r="S85" s="170">
        <f t="shared" si="25"/>
        <v>435.27451747256424</v>
      </c>
      <c r="T85" s="168">
        <f aca="true" t="shared" si="30" ref="T85:W85">S85*(1+$E85)</f>
        <v>430.9217722978386</v>
      </c>
      <c r="U85" s="168">
        <f t="shared" si="30"/>
        <v>426.61255457486016</v>
      </c>
      <c r="V85" s="168">
        <f t="shared" si="30"/>
        <v>422.34642902911156</v>
      </c>
      <c r="W85" s="169">
        <f t="shared" si="30"/>
        <v>418.12296473882043</v>
      </c>
      <c r="X85" s="142" t="s">
        <v>127</v>
      </c>
    </row>
    <row r="86" spans="1:24" ht="15" customHeight="1">
      <c r="A86" s="155" t="s">
        <v>76</v>
      </c>
      <c r="B86" s="209">
        <v>0</v>
      </c>
      <c r="C86" s="210">
        <v>0</v>
      </c>
      <c r="D86" s="209">
        <f t="shared" si="15"/>
        <v>0</v>
      </c>
      <c r="E86" s="210">
        <f t="shared" si="16"/>
        <v>0</v>
      </c>
      <c r="F86" s="159">
        <f t="shared" si="22"/>
        <v>850</v>
      </c>
      <c r="G86" s="160">
        <f t="shared" si="29"/>
        <v>850</v>
      </c>
      <c r="H86" s="160">
        <f t="shared" si="29"/>
        <v>850</v>
      </c>
      <c r="I86" s="160">
        <f t="shared" si="29"/>
        <v>850</v>
      </c>
      <c r="J86" s="160">
        <f t="shared" si="29"/>
        <v>850</v>
      </c>
      <c r="K86" s="160">
        <f t="shared" si="29"/>
        <v>850</v>
      </c>
      <c r="L86" s="190">
        <v>850</v>
      </c>
      <c r="M86" s="160">
        <f t="shared" si="23"/>
        <v>850</v>
      </c>
      <c r="N86" s="160">
        <f t="shared" si="23"/>
        <v>850</v>
      </c>
      <c r="O86" s="168">
        <f t="shared" si="23"/>
        <v>850</v>
      </c>
      <c r="P86" s="169">
        <f t="shared" si="23"/>
        <v>850</v>
      </c>
      <c r="Q86" s="170">
        <f t="shared" si="24"/>
        <v>850</v>
      </c>
      <c r="R86" s="169">
        <f t="shared" si="24"/>
        <v>850</v>
      </c>
      <c r="S86" s="170">
        <f t="shared" si="25"/>
        <v>850</v>
      </c>
      <c r="T86" s="168">
        <f t="shared" si="25"/>
        <v>850</v>
      </c>
      <c r="U86" s="168">
        <f t="shared" si="25"/>
        <v>850</v>
      </c>
      <c r="V86" s="168">
        <f t="shared" si="25"/>
        <v>850</v>
      </c>
      <c r="W86" s="169">
        <f t="shared" si="25"/>
        <v>850</v>
      </c>
      <c r="X86" s="142" t="s">
        <v>128</v>
      </c>
    </row>
    <row r="87" spans="1:24" ht="15" customHeight="1">
      <c r="A87" s="155" t="s">
        <v>78</v>
      </c>
      <c r="B87" s="209">
        <v>-0.01</v>
      </c>
      <c r="C87" s="210">
        <v>0.01</v>
      </c>
      <c r="D87" s="209">
        <f t="shared" si="15"/>
        <v>0.01</v>
      </c>
      <c r="E87" s="210">
        <f t="shared" si="16"/>
        <v>0.01</v>
      </c>
      <c r="F87" s="159">
        <f t="shared" si="22"/>
        <v>884.7770189631524</v>
      </c>
      <c r="G87" s="160">
        <f t="shared" si="22"/>
        <v>875.9292487735208</v>
      </c>
      <c r="H87" s="160">
        <f t="shared" si="22"/>
        <v>867.1699562857856</v>
      </c>
      <c r="I87" s="171">
        <f t="shared" si="22"/>
        <v>858.4982567229277</v>
      </c>
      <c r="J87" s="171">
        <f t="shared" si="22"/>
        <v>849.9132741556984</v>
      </c>
      <c r="K87" s="160">
        <f t="shared" si="22"/>
        <v>841.4141414141415</v>
      </c>
      <c r="L87" s="168">
        <f>1300-L85</f>
        <v>833</v>
      </c>
      <c r="M87" s="160">
        <f t="shared" si="23"/>
        <v>841.33</v>
      </c>
      <c r="N87" s="160">
        <f t="shared" si="23"/>
        <v>849.7433000000001</v>
      </c>
      <c r="O87" s="168">
        <f t="shared" si="23"/>
        <v>858.2407330000001</v>
      </c>
      <c r="P87" s="169">
        <f t="shared" si="23"/>
        <v>866.8231403300001</v>
      </c>
      <c r="Q87" s="170">
        <f t="shared" si="24"/>
        <v>875.4913717333001</v>
      </c>
      <c r="R87" s="169">
        <f t="shared" si="24"/>
        <v>884.2462854506331</v>
      </c>
      <c r="S87" s="170">
        <f t="shared" si="25"/>
        <v>893.0887483051395</v>
      </c>
      <c r="T87" s="168">
        <f t="shared" si="25"/>
        <v>902.0196357881908</v>
      </c>
      <c r="U87" s="168">
        <f t="shared" si="25"/>
        <v>911.0398321460727</v>
      </c>
      <c r="V87" s="168">
        <f t="shared" si="25"/>
        <v>920.1502304675334</v>
      </c>
      <c r="W87" s="169">
        <f t="shared" si="25"/>
        <v>929.3517327722088</v>
      </c>
      <c r="X87" s="142" t="s">
        <v>129</v>
      </c>
    </row>
    <row r="88" spans="1:24" ht="15" customHeight="1">
      <c r="A88" s="155" t="s">
        <v>79</v>
      </c>
      <c r="B88" s="209">
        <v>0.01</v>
      </c>
      <c r="C88" s="210">
        <v>0.01</v>
      </c>
      <c r="D88" s="209">
        <f t="shared" si="15"/>
        <v>0.01</v>
      </c>
      <c r="E88" s="210">
        <f t="shared" si="16"/>
        <v>0.01</v>
      </c>
      <c r="F88" s="159">
        <f t="shared" si="22"/>
        <v>659.4316646779448</v>
      </c>
      <c r="G88" s="160">
        <f t="shared" si="22"/>
        <v>666.0259813247243</v>
      </c>
      <c r="H88" s="160">
        <f t="shared" si="22"/>
        <v>672.6862411379715</v>
      </c>
      <c r="I88" s="160">
        <f t="shared" si="22"/>
        <v>679.4131035493511</v>
      </c>
      <c r="J88" s="160">
        <f t="shared" si="22"/>
        <v>686.2072345848446</v>
      </c>
      <c r="K88" s="160">
        <f t="shared" si="22"/>
        <v>693.0693069306931</v>
      </c>
      <c r="L88" s="190">
        <v>700</v>
      </c>
      <c r="M88" s="160">
        <f t="shared" si="23"/>
        <v>707</v>
      </c>
      <c r="N88" s="160">
        <f t="shared" si="23"/>
        <v>714.07</v>
      </c>
      <c r="O88" s="168">
        <f t="shared" si="23"/>
        <v>721.2107000000001</v>
      </c>
      <c r="P88" s="169">
        <f t="shared" si="23"/>
        <v>728.4228070000001</v>
      </c>
      <c r="Q88" s="170">
        <f t="shared" si="24"/>
        <v>735.7070350700002</v>
      </c>
      <c r="R88" s="169">
        <f t="shared" si="24"/>
        <v>743.0641054207002</v>
      </c>
      <c r="S88" s="170">
        <f t="shared" si="25"/>
        <v>750.4947464749073</v>
      </c>
      <c r="T88" s="168">
        <f t="shared" si="25"/>
        <v>757.9996939396564</v>
      </c>
      <c r="U88" s="168">
        <f t="shared" si="25"/>
        <v>765.5796908790529</v>
      </c>
      <c r="V88" s="168">
        <f t="shared" si="25"/>
        <v>773.2354877878435</v>
      </c>
      <c r="W88" s="169">
        <f t="shared" si="25"/>
        <v>780.967842665722</v>
      </c>
      <c r="X88" s="142" t="s">
        <v>130</v>
      </c>
    </row>
    <row r="89" spans="1:24" ht="15" customHeight="1">
      <c r="A89" s="155" t="s">
        <v>81</v>
      </c>
      <c r="B89" s="209">
        <v>0.1</v>
      </c>
      <c r="C89" s="210">
        <v>0.02</v>
      </c>
      <c r="D89" s="209">
        <f aca="true" t="shared" si="31" ref="D89:D101">C89</f>
        <v>0.02</v>
      </c>
      <c r="E89" s="210">
        <f aca="true" t="shared" si="32" ref="E89:E101">C89</f>
        <v>0.02</v>
      </c>
      <c r="F89" s="159">
        <f t="shared" si="22"/>
        <v>626.5660623596928</v>
      </c>
      <c r="G89" s="160">
        <f t="shared" si="22"/>
        <v>689.2226685956621</v>
      </c>
      <c r="H89" s="168">
        <f t="shared" si="22"/>
        <v>758.1449354552283</v>
      </c>
      <c r="I89" s="168">
        <f t="shared" si="22"/>
        <v>833.9594290007511</v>
      </c>
      <c r="J89" s="160">
        <f t="shared" si="22"/>
        <v>917.3553719008263</v>
      </c>
      <c r="K89" s="160">
        <f t="shared" si="22"/>
        <v>1009.090909090909</v>
      </c>
      <c r="L89" s="171">
        <v>1110</v>
      </c>
      <c r="M89" s="160">
        <f t="shared" si="23"/>
        <v>1132.2</v>
      </c>
      <c r="N89" s="160">
        <f t="shared" si="23"/>
        <v>1154.844</v>
      </c>
      <c r="O89" s="168">
        <f t="shared" si="23"/>
        <v>1177.94088</v>
      </c>
      <c r="P89" s="169">
        <f t="shared" si="23"/>
        <v>1201.4996976000002</v>
      </c>
      <c r="Q89" s="170">
        <f t="shared" si="24"/>
        <v>1225.5296915520003</v>
      </c>
      <c r="R89" s="169">
        <f t="shared" si="24"/>
        <v>1250.0402853830403</v>
      </c>
      <c r="S89" s="170">
        <f t="shared" si="25"/>
        <v>1275.0410910907012</v>
      </c>
      <c r="T89" s="168">
        <f t="shared" si="25"/>
        <v>1300.5419129125153</v>
      </c>
      <c r="U89" s="168">
        <f t="shared" si="25"/>
        <v>1326.5527511707655</v>
      </c>
      <c r="V89" s="168">
        <f t="shared" si="25"/>
        <v>1353.0838061941809</v>
      </c>
      <c r="W89" s="169">
        <f t="shared" si="25"/>
        <v>1380.1454823180645</v>
      </c>
      <c r="X89" s="142" t="s">
        <v>130</v>
      </c>
    </row>
    <row r="90" spans="1:24" ht="15" customHeight="1">
      <c r="A90" s="155" t="s">
        <v>30</v>
      </c>
      <c r="B90" s="209">
        <v>0.09</v>
      </c>
      <c r="C90" s="210">
        <v>0.07</v>
      </c>
      <c r="D90" s="209">
        <f t="shared" si="31"/>
        <v>0.07</v>
      </c>
      <c r="E90" s="444">
        <f>'Update Scenarios'!D8</f>
        <v>0.05</v>
      </c>
      <c r="F90" s="159">
        <f t="shared" si="22"/>
        <v>2558.583099638715</v>
      </c>
      <c r="G90" s="160">
        <f t="shared" si="22"/>
        <v>2788.8555786061993</v>
      </c>
      <c r="H90" s="171">
        <f t="shared" si="22"/>
        <v>3039.8525806807575</v>
      </c>
      <c r="I90" s="160">
        <f t="shared" si="22"/>
        <v>3313.439312942026</v>
      </c>
      <c r="J90" s="160">
        <f t="shared" si="22"/>
        <v>3611.6488511068087</v>
      </c>
      <c r="K90" s="171">
        <f t="shared" si="22"/>
        <v>3936.697247706422</v>
      </c>
      <c r="L90" s="160">
        <v>4291</v>
      </c>
      <c r="M90" s="160">
        <f t="shared" si="23"/>
        <v>4591.37</v>
      </c>
      <c r="N90" s="160">
        <f t="shared" si="23"/>
        <v>4912.7659</v>
      </c>
      <c r="O90" s="168">
        <f t="shared" si="23"/>
        <v>5256.6595130000005</v>
      </c>
      <c r="P90" s="226">
        <f t="shared" si="23"/>
        <v>5624.625678910001</v>
      </c>
      <c r="Q90" s="170">
        <f t="shared" si="24"/>
        <v>6018.349476433701</v>
      </c>
      <c r="R90" s="169">
        <f t="shared" si="24"/>
        <v>6439.63393978406</v>
      </c>
      <c r="S90" s="170">
        <f t="shared" si="25"/>
        <v>6761.615636773264</v>
      </c>
      <c r="T90" s="168">
        <f t="shared" si="25"/>
        <v>7099.696418611928</v>
      </c>
      <c r="U90" s="168">
        <f t="shared" si="25"/>
        <v>7454.681239542524</v>
      </c>
      <c r="V90" s="168">
        <f t="shared" si="25"/>
        <v>7827.415301519651</v>
      </c>
      <c r="W90" s="169">
        <f t="shared" si="25"/>
        <v>8218.786066595634</v>
      </c>
      <c r="X90" s="142" t="s">
        <v>131</v>
      </c>
    </row>
    <row r="91" spans="1:24" ht="15" customHeight="1">
      <c r="A91" s="155" t="s">
        <v>84</v>
      </c>
      <c r="B91" s="209">
        <v>0.1</v>
      </c>
      <c r="C91" s="210">
        <v>0.09</v>
      </c>
      <c r="D91" s="209">
        <f t="shared" si="31"/>
        <v>0.09</v>
      </c>
      <c r="E91" s="210">
        <f t="shared" si="32"/>
        <v>0.09</v>
      </c>
      <c r="F91" s="159">
        <f t="shared" si="22"/>
        <v>358.4409455841485</v>
      </c>
      <c r="G91" s="160">
        <f t="shared" si="22"/>
        <v>394.2850401425634</v>
      </c>
      <c r="H91" s="160">
        <f t="shared" si="22"/>
        <v>433.71354415681975</v>
      </c>
      <c r="I91" s="171">
        <f t="shared" si="22"/>
        <v>477.08489857250174</v>
      </c>
      <c r="J91" s="160">
        <f t="shared" si="22"/>
        <v>524.793388429752</v>
      </c>
      <c r="K91" s="160">
        <f t="shared" si="22"/>
        <v>577.2727272727273</v>
      </c>
      <c r="L91" s="171">
        <v>635</v>
      </c>
      <c r="M91" s="160">
        <f t="shared" si="23"/>
        <v>692.1500000000001</v>
      </c>
      <c r="N91" s="171">
        <f t="shared" si="23"/>
        <v>754.4435000000002</v>
      </c>
      <c r="O91" s="168">
        <f t="shared" si="23"/>
        <v>822.3434150000003</v>
      </c>
      <c r="P91" s="169">
        <f t="shared" si="23"/>
        <v>896.3543223500004</v>
      </c>
      <c r="Q91" s="170">
        <f t="shared" si="24"/>
        <v>977.0262113615005</v>
      </c>
      <c r="R91" s="169">
        <f t="shared" si="24"/>
        <v>1064.9585703840355</v>
      </c>
      <c r="S91" s="170">
        <f t="shared" si="25"/>
        <v>1160.8048417185987</v>
      </c>
      <c r="T91" s="168">
        <f t="shared" si="25"/>
        <v>1265.2772774732728</v>
      </c>
      <c r="U91" s="168">
        <f t="shared" si="25"/>
        <v>1379.1522324458674</v>
      </c>
      <c r="V91" s="168">
        <f t="shared" si="25"/>
        <v>1503.2759333659956</v>
      </c>
      <c r="W91" s="169">
        <f t="shared" si="25"/>
        <v>1638.5707673689353</v>
      </c>
      <c r="X91" s="142" t="s">
        <v>132</v>
      </c>
    </row>
    <row r="92" spans="1:24" ht="15" customHeight="1">
      <c r="A92" s="155" t="s">
        <v>86</v>
      </c>
      <c r="B92" s="209">
        <v>-0.15</v>
      </c>
      <c r="C92" s="210">
        <v>-0.09</v>
      </c>
      <c r="D92" s="209">
        <f t="shared" si="31"/>
        <v>-0.09</v>
      </c>
      <c r="E92" s="210">
        <f t="shared" si="32"/>
        <v>-0.09</v>
      </c>
      <c r="F92" s="159">
        <f t="shared" si="22"/>
        <v>5732.474550357578</v>
      </c>
      <c r="G92" s="160">
        <f t="shared" si="22"/>
        <v>4872.603367803941</v>
      </c>
      <c r="H92" s="160">
        <f t="shared" si="22"/>
        <v>4141.71286263335</v>
      </c>
      <c r="I92" s="160">
        <f t="shared" si="22"/>
        <v>3520.4559332383474</v>
      </c>
      <c r="J92" s="160">
        <f t="shared" si="22"/>
        <v>2992.387543252595</v>
      </c>
      <c r="K92" s="171">
        <f t="shared" si="22"/>
        <v>2543.529411764706</v>
      </c>
      <c r="L92" s="171">
        <v>2162</v>
      </c>
      <c r="M92" s="160">
        <f t="shared" si="23"/>
        <v>1967.42</v>
      </c>
      <c r="N92" s="160">
        <f t="shared" si="23"/>
        <v>1790.3522</v>
      </c>
      <c r="O92" s="168">
        <f t="shared" si="23"/>
        <v>1629.2205020000001</v>
      </c>
      <c r="P92" s="226">
        <f t="shared" si="23"/>
        <v>1482.5906568200003</v>
      </c>
      <c r="Q92" s="170">
        <f t="shared" si="24"/>
        <v>1349.1574977062003</v>
      </c>
      <c r="R92" s="169">
        <f t="shared" si="24"/>
        <v>1227.7333229126423</v>
      </c>
      <c r="S92" s="170">
        <f t="shared" si="25"/>
        <v>1117.2373238505045</v>
      </c>
      <c r="T92" s="168">
        <f t="shared" si="25"/>
        <v>1016.6859647039591</v>
      </c>
      <c r="U92" s="168">
        <f t="shared" si="25"/>
        <v>925.1842278806029</v>
      </c>
      <c r="V92" s="168">
        <f t="shared" si="25"/>
        <v>841.9176473713486</v>
      </c>
      <c r="W92" s="169">
        <f t="shared" si="25"/>
        <v>766.1450591079273</v>
      </c>
      <c r="X92" s="142" t="s">
        <v>133</v>
      </c>
    </row>
    <row r="93" spans="1:24" ht="15" customHeight="1">
      <c r="A93" s="212" t="s">
        <v>88</v>
      </c>
      <c r="B93" s="209">
        <v>0.25</v>
      </c>
      <c r="C93" s="227">
        <v>0.17</v>
      </c>
      <c r="D93" s="209">
        <f t="shared" si="31"/>
        <v>0.17</v>
      </c>
      <c r="E93" s="210">
        <f t="shared" si="32"/>
        <v>0.17</v>
      </c>
      <c r="F93" s="159">
        <f t="shared" si="22"/>
        <v>2175.7952</v>
      </c>
      <c r="G93" s="160">
        <f t="shared" si="22"/>
        <v>2719.744</v>
      </c>
      <c r="H93" s="168">
        <f t="shared" si="22"/>
        <v>3399.6800000000003</v>
      </c>
      <c r="I93" s="168">
        <f t="shared" si="22"/>
        <v>4249.6</v>
      </c>
      <c r="J93" s="190">
        <f t="shared" si="22"/>
        <v>5312</v>
      </c>
      <c r="K93" s="168">
        <f t="shared" si="22"/>
        <v>6640</v>
      </c>
      <c r="L93" s="190">
        <v>8300</v>
      </c>
      <c r="M93" s="168">
        <f t="shared" si="23"/>
        <v>9711</v>
      </c>
      <c r="N93" s="160">
        <f t="shared" si="23"/>
        <v>11361.869999999999</v>
      </c>
      <c r="O93" s="168">
        <f t="shared" si="23"/>
        <v>13293.387899999998</v>
      </c>
      <c r="P93" s="169">
        <f t="shared" si="23"/>
        <v>15553.263842999997</v>
      </c>
      <c r="Q93" s="170">
        <f t="shared" si="24"/>
        <v>18197.318696309994</v>
      </c>
      <c r="R93" s="169">
        <f t="shared" si="24"/>
        <v>21290.86287468269</v>
      </c>
      <c r="S93" s="170">
        <f t="shared" si="25"/>
        <v>24910.309563378745</v>
      </c>
      <c r="T93" s="168">
        <f t="shared" si="25"/>
        <v>29145.06218915313</v>
      </c>
      <c r="U93" s="168">
        <f t="shared" si="25"/>
        <v>34099.72276130916</v>
      </c>
      <c r="V93" s="168">
        <f t="shared" si="25"/>
        <v>39896.67563073171</v>
      </c>
      <c r="W93" s="169">
        <f t="shared" si="25"/>
        <v>46679.1104879561</v>
      </c>
      <c r="X93" s="142" t="s">
        <v>134</v>
      </c>
    </row>
    <row r="94" spans="1:26" ht="15" customHeight="1">
      <c r="A94" s="155" t="s">
        <v>90</v>
      </c>
      <c r="B94" s="209">
        <v>0.015</v>
      </c>
      <c r="C94" s="210">
        <v>0.015</v>
      </c>
      <c r="D94" s="209">
        <f t="shared" si="31"/>
        <v>0.015</v>
      </c>
      <c r="E94" s="210">
        <f t="shared" si="32"/>
        <v>0.015</v>
      </c>
      <c r="F94" s="159">
        <f t="shared" si="22"/>
        <v>2170.2086228449098</v>
      </c>
      <c r="G94" s="160">
        <f t="shared" si="22"/>
        <v>2202.761752187583</v>
      </c>
      <c r="H94" s="160">
        <f t="shared" si="22"/>
        <v>2235.8031784703967</v>
      </c>
      <c r="I94" s="193">
        <f t="shared" si="22"/>
        <v>2269.3402261474525</v>
      </c>
      <c r="J94" s="193">
        <f t="shared" si="22"/>
        <v>2303.380329539664</v>
      </c>
      <c r="K94" s="193">
        <f t="shared" si="22"/>
        <v>2337.931034482759</v>
      </c>
      <c r="L94" s="171">
        <v>2373</v>
      </c>
      <c r="M94" s="160">
        <f t="shared" si="23"/>
        <v>2408.595</v>
      </c>
      <c r="N94" s="160">
        <f t="shared" si="23"/>
        <v>2444.723925</v>
      </c>
      <c r="O94" s="168">
        <f t="shared" si="23"/>
        <v>2481.3947838749996</v>
      </c>
      <c r="P94" s="169">
        <f t="shared" si="23"/>
        <v>2518.6157056331244</v>
      </c>
      <c r="Q94" s="170">
        <f t="shared" si="24"/>
        <v>2556.394941217621</v>
      </c>
      <c r="R94" s="169">
        <f t="shared" si="24"/>
        <v>2594.7408653358852</v>
      </c>
      <c r="S94" s="170">
        <f t="shared" si="25"/>
        <v>2633.661978315923</v>
      </c>
      <c r="T94" s="168">
        <f t="shared" si="25"/>
        <v>2673.1669079906615</v>
      </c>
      <c r="U94" s="168">
        <f t="shared" si="25"/>
        <v>2713.264411610521</v>
      </c>
      <c r="V94" s="168">
        <f t="shared" si="25"/>
        <v>2753.963377784679</v>
      </c>
      <c r="W94" s="169">
        <f t="shared" si="25"/>
        <v>2795.2728284514487</v>
      </c>
      <c r="X94" s="142" t="s">
        <v>135</v>
      </c>
      <c r="Z94" s="142">
        <f>1700/1500</f>
        <v>1.1333333333333333</v>
      </c>
    </row>
    <row r="95" spans="1:24" ht="15" customHeight="1">
      <c r="A95" s="155" t="s">
        <v>92</v>
      </c>
      <c r="B95" s="209">
        <v>0.1</v>
      </c>
      <c r="C95" s="210">
        <v>0.1</v>
      </c>
      <c r="D95" s="209">
        <f t="shared" si="31"/>
        <v>0.1</v>
      </c>
      <c r="E95" s="210">
        <f t="shared" si="32"/>
        <v>0.1</v>
      </c>
      <c r="F95" s="159">
        <f t="shared" si="22"/>
        <v>310.4606615295774</v>
      </c>
      <c r="G95" s="160">
        <f t="shared" si="22"/>
        <v>341.5067276825352</v>
      </c>
      <c r="H95" s="160">
        <f t="shared" si="22"/>
        <v>375.65740045078877</v>
      </c>
      <c r="I95" s="160">
        <f t="shared" si="22"/>
        <v>413.22314049586765</v>
      </c>
      <c r="J95" s="160">
        <f t="shared" si="22"/>
        <v>454.54545454545445</v>
      </c>
      <c r="K95" s="160">
        <f t="shared" si="22"/>
        <v>499.99999999999994</v>
      </c>
      <c r="L95" s="171">
        <v>550</v>
      </c>
      <c r="M95" s="160">
        <f t="shared" si="23"/>
        <v>605</v>
      </c>
      <c r="N95" s="160">
        <f t="shared" si="23"/>
        <v>665.5</v>
      </c>
      <c r="O95" s="168">
        <f t="shared" si="23"/>
        <v>732.0500000000001</v>
      </c>
      <c r="P95" s="169">
        <f t="shared" si="23"/>
        <v>805.2550000000001</v>
      </c>
      <c r="Q95" s="170">
        <f t="shared" si="24"/>
        <v>885.7805000000002</v>
      </c>
      <c r="R95" s="169">
        <f t="shared" si="24"/>
        <v>974.3585500000003</v>
      </c>
      <c r="S95" s="170">
        <f t="shared" si="25"/>
        <v>1071.7944050000003</v>
      </c>
      <c r="T95" s="168">
        <f t="shared" si="25"/>
        <v>1178.9738455000004</v>
      </c>
      <c r="U95" s="168">
        <f t="shared" si="25"/>
        <v>1296.8712300500006</v>
      </c>
      <c r="V95" s="168">
        <f t="shared" si="25"/>
        <v>1426.5583530550007</v>
      </c>
      <c r="W95" s="169">
        <f t="shared" si="25"/>
        <v>1569.2141883605009</v>
      </c>
      <c r="X95" s="142" t="s">
        <v>136</v>
      </c>
    </row>
    <row r="96" spans="1:24" ht="15" customHeight="1">
      <c r="A96" s="155" t="s">
        <v>94</v>
      </c>
      <c r="B96" s="209">
        <v>0.04</v>
      </c>
      <c r="C96" s="210">
        <v>0.023</v>
      </c>
      <c r="D96" s="209">
        <f t="shared" si="31"/>
        <v>0.023</v>
      </c>
      <c r="E96" s="210">
        <f t="shared" si="32"/>
        <v>0.023</v>
      </c>
      <c r="F96" s="159">
        <f t="shared" si="22"/>
        <v>213.38492194713933</v>
      </c>
      <c r="G96" s="160">
        <f t="shared" si="22"/>
        <v>221.9203188250249</v>
      </c>
      <c r="H96" s="160">
        <f t="shared" si="22"/>
        <v>230.7971315780259</v>
      </c>
      <c r="I96" s="160">
        <f t="shared" si="22"/>
        <v>240.02901684114696</v>
      </c>
      <c r="J96" s="160">
        <f t="shared" si="22"/>
        <v>249.63017751479285</v>
      </c>
      <c r="K96" s="160">
        <f t="shared" si="22"/>
        <v>259.6153846153846</v>
      </c>
      <c r="L96" s="171">
        <v>270</v>
      </c>
      <c r="M96" s="160">
        <f t="shared" si="23"/>
        <v>276.21</v>
      </c>
      <c r="N96" s="160">
        <f t="shared" si="23"/>
        <v>282.56282999999996</v>
      </c>
      <c r="O96" s="168">
        <f t="shared" si="23"/>
        <v>289.0617750899999</v>
      </c>
      <c r="P96" s="169">
        <f t="shared" si="23"/>
        <v>295.7101959170699</v>
      </c>
      <c r="Q96" s="170">
        <f t="shared" si="24"/>
        <v>302.51153042316247</v>
      </c>
      <c r="R96" s="169">
        <f t="shared" si="24"/>
        <v>309.4692956228952</v>
      </c>
      <c r="S96" s="170">
        <f t="shared" si="25"/>
        <v>316.5870894222217</v>
      </c>
      <c r="T96" s="168">
        <f t="shared" si="25"/>
        <v>323.8685924789328</v>
      </c>
      <c r="U96" s="168">
        <f t="shared" si="25"/>
        <v>331.3175701059482</v>
      </c>
      <c r="V96" s="168">
        <f t="shared" si="25"/>
        <v>338.937874218385</v>
      </c>
      <c r="W96" s="169">
        <f t="shared" si="25"/>
        <v>346.73344532540784</v>
      </c>
      <c r="X96" s="142" t="s">
        <v>137</v>
      </c>
    </row>
    <row r="97" spans="1:24" ht="15" customHeight="1">
      <c r="A97" s="155" t="s">
        <v>96</v>
      </c>
      <c r="B97" s="209">
        <v>0.02</v>
      </c>
      <c r="C97" s="210">
        <v>0.02</v>
      </c>
      <c r="D97" s="209">
        <f t="shared" si="31"/>
        <v>0.02</v>
      </c>
      <c r="E97" s="210">
        <f t="shared" si="32"/>
        <v>0.02</v>
      </c>
      <c r="F97" s="159">
        <f t="shared" si="22"/>
        <v>317.00578344047057</v>
      </c>
      <c r="G97" s="160">
        <f t="shared" si="22"/>
        <v>323.34589910927997</v>
      </c>
      <c r="H97" s="160">
        <f t="shared" si="22"/>
        <v>329.81281709146555</v>
      </c>
      <c r="I97" s="160">
        <f t="shared" si="22"/>
        <v>336.40907343329485</v>
      </c>
      <c r="J97" s="160">
        <f t="shared" si="22"/>
        <v>343.1372549019608</v>
      </c>
      <c r="K97" s="160">
        <f t="shared" si="22"/>
        <v>350</v>
      </c>
      <c r="L97" s="171">
        <v>357</v>
      </c>
      <c r="M97" s="160">
        <f t="shared" si="23"/>
        <v>364.14</v>
      </c>
      <c r="N97" s="160">
        <f t="shared" si="23"/>
        <v>371.4228</v>
      </c>
      <c r="O97" s="168">
        <f t="shared" si="23"/>
        <v>378.851256</v>
      </c>
      <c r="P97" s="169">
        <f t="shared" si="23"/>
        <v>386.42828112</v>
      </c>
      <c r="Q97" s="170">
        <f t="shared" si="24"/>
        <v>394.15684674240003</v>
      </c>
      <c r="R97" s="169">
        <f t="shared" si="24"/>
        <v>402.039983677248</v>
      </c>
      <c r="S97" s="170">
        <f t="shared" si="25"/>
        <v>410.080783350793</v>
      </c>
      <c r="T97" s="168">
        <f t="shared" si="25"/>
        <v>418.28239901780887</v>
      </c>
      <c r="U97" s="168">
        <f t="shared" si="25"/>
        <v>426.64804699816506</v>
      </c>
      <c r="V97" s="168">
        <f t="shared" si="25"/>
        <v>435.18100793812835</v>
      </c>
      <c r="W97" s="169">
        <f t="shared" si="25"/>
        <v>443.88462809689094</v>
      </c>
      <c r="X97" s="142" t="s">
        <v>97</v>
      </c>
    </row>
    <row r="98" spans="1:24" ht="15" customHeight="1">
      <c r="A98" s="155" t="s">
        <v>5</v>
      </c>
      <c r="B98" s="209">
        <v>0.5</v>
      </c>
      <c r="C98" s="227">
        <v>0.4</v>
      </c>
      <c r="D98" s="423">
        <f>'Input - Hyp CAGR MetaMetaverse'!I7</f>
        <v>0.16264053157772462</v>
      </c>
      <c r="E98" s="424">
        <f>'Input - Hyp CAGR MetaMetaverse'!I7</f>
        <v>0.16264053157772462</v>
      </c>
      <c r="F98" s="159">
        <f t="shared" si="22"/>
        <v>5.530864197530864</v>
      </c>
      <c r="G98" s="160">
        <f t="shared" si="22"/>
        <v>8.296296296296296</v>
      </c>
      <c r="H98" s="160">
        <f t="shared" si="22"/>
        <v>12.444444444444445</v>
      </c>
      <c r="I98" s="160">
        <f t="shared" si="22"/>
        <v>18.666666666666668</v>
      </c>
      <c r="J98" s="160">
        <f t="shared" si="22"/>
        <v>28</v>
      </c>
      <c r="K98" s="160">
        <f t="shared" si="22"/>
        <v>42</v>
      </c>
      <c r="L98" s="190">
        <v>63</v>
      </c>
      <c r="M98" s="160">
        <f t="shared" si="23"/>
        <v>88.19999999999999</v>
      </c>
      <c r="N98" s="168">
        <f t="shared" si="23"/>
        <v>123.47999999999998</v>
      </c>
      <c r="O98" s="168">
        <f t="shared" si="23"/>
        <v>172.87199999999996</v>
      </c>
      <c r="P98" s="169">
        <f t="shared" si="23"/>
        <v>242.02079999999992</v>
      </c>
      <c r="Q98" s="170">
        <f t="shared" si="24"/>
        <v>281.3831915648661</v>
      </c>
      <c r="R98" s="169">
        <f t="shared" si="24"/>
        <v>327.1475034180126</v>
      </c>
      <c r="S98" s="170">
        <f t="shared" si="25"/>
        <v>380.3549472782437</v>
      </c>
      <c r="T98" s="168">
        <f t="shared" si="25"/>
        <v>442.21607809179466</v>
      </c>
      <c r="U98" s="168">
        <f t="shared" si="25"/>
        <v>514.1383361048607</v>
      </c>
      <c r="V98" s="168">
        <f t="shared" si="25"/>
        <v>597.7580683934422</v>
      </c>
      <c r="W98" s="169">
        <f t="shared" si="25"/>
        <v>694.9777583918254</v>
      </c>
      <c r="X98" s="142" t="s">
        <v>138</v>
      </c>
    </row>
    <row r="99" spans="1:24" ht="15" customHeight="1">
      <c r="A99" s="155" t="s">
        <v>33</v>
      </c>
      <c r="B99" s="209">
        <v>0.8</v>
      </c>
      <c r="C99" s="227">
        <v>0.5</v>
      </c>
      <c r="D99" s="209">
        <f t="shared" si="31"/>
        <v>0.5</v>
      </c>
      <c r="E99" s="210">
        <f t="shared" si="32"/>
        <v>0.5</v>
      </c>
      <c r="F99" s="159">
        <f t="shared" si="22"/>
        <v>6.115448375266492</v>
      </c>
      <c r="G99" s="160">
        <f t="shared" si="22"/>
        <v>11.007807075479686</v>
      </c>
      <c r="H99" s="160">
        <f t="shared" si="22"/>
        <v>19.814052735863434</v>
      </c>
      <c r="I99" s="160">
        <f t="shared" si="22"/>
        <v>35.66529492455418</v>
      </c>
      <c r="J99" s="160">
        <f t="shared" si="22"/>
        <v>64.19753086419753</v>
      </c>
      <c r="K99" s="160">
        <f t="shared" si="22"/>
        <v>115.55555555555556</v>
      </c>
      <c r="L99" s="171">
        <v>208</v>
      </c>
      <c r="M99" s="160">
        <f t="shared" si="23"/>
        <v>312</v>
      </c>
      <c r="N99" s="168">
        <f t="shared" si="23"/>
        <v>468</v>
      </c>
      <c r="O99" s="168">
        <f t="shared" si="23"/>
        <v>702</v>
      </c>
      <c r="P99" s="169">
        <f t="shared" si="23"/>
        <v>1053</v>
      </c>
      <c r="Q99" s="170">
        <f t="shared" si="24"/>
        <v>1579.5</v>
      </c>
      <c r="R99" s="169">
        <f t="shared" si="24"/>
        <v>2369.25</v>
      </c>
      <c r="S99" s="170">
        <f t="shared" si="25"/>
        <v>3553.875</v>
      </c>
      <c r="T99" s="168">
        <f t="shared" si="25"/>
        <v>5330.8125</v>
      </c>
      <c r="U99" s="168">
        <f t="shared" si="25"/>
        <v>7996.21875</v>
      </c>
      <c r="V99" s="168">
        <f t="shared" si="25"/>
        <v>11994.328125</v>
      </c>
      <c r="W99" s="169">
        <f t="shared" si="25"/>
        <v>17991.4921875</v>
      </c>
      <c r="X99" s="142" t="s">
        <v>139</v>
      </c>
    </row>
    <row r="100" spans="1:24" ht="15" customHeight="1">
      <c r="A100" s="155" t="s">
        <v>101</v>
      </c>
      <c r="B100" s="209">
        <v>0.2</v>
      </c>
      <c r="C100" s="227">
        <v>0.15</v>
      </c>
      <c r="D100" s="209">
        <f t="shared" si="31"/>
        <v>0.15</v>
      </c>
      <c r="E100" s="210">
        <f t="shared" si="32"/>
        <v>0.15</v>
      </c>
      <c r="F100" s="159">
        <f t="shared" si="22"/>
        <v>21.433470507544587</v>
      </c>
      <c r="G100" s="160">
        <f t="shared" si="22"/>
        <v>25.720164609053505</v>
      </c>
      <c r="H100" s="160">
        <f t="shared" si="22"/>
        <v>30.864197530864207</v>
      </c>
      <c r="I100" s="160">
        <f t="shared" si="22"/>
        <v>37.037037037037045</v>
      </c>
      <c r="J100" s="160">
        <f t="shared" si="22"/>
        <v>44.44444444444445</v>
      </c>
      <c r="K100" s="160">
        <f t="shared" si="22"/>
        <v>53.333333333333336</v>
      </c>
      <c r="L100" s="171">
        <v>64</v>
      </c>
      <c r="M100" s="160">
        <f t="shared" si="23"/>
        <v>73.6</v>
      </c>
      <c r="N100" s="168">
        <f t="shared" si="23"/>
        <v>84.63999999999999</v>
      </c>
      <c r="O100" s="168">
        <f t="shared" si="23"/>
        <v>97.33599999999997</v>
      </c>
      <c r="P100" s="169">
        <f t="shared" si="23"/>
        <v>111.93639999999996</v>
      </c>
      <c r="Q100" s="170">
        <f t="shared" si="24"/>
        <v>128.72685999999996</v>
      </c>
      <c r="R100" s="169">
        <f t="shared" si="24"/>
        <v>148.03588899999994</v>
      </c>
      <c r="S100" s="170">
        <f t="shared" si="25"/>
        <v>170.24127234999992</v>
      </c>
      <c r="T100" s="168">
        <f t="shared" si="25"/>
        <v>195.7774632024999</v>
      </c>
      <c r="U100" s="168">
        <f t="shared" si="25"/>
        <v>225.14408268287485</v>
      </c>
      <c r="V100" s="168">
        <f t="shared" si="25"/>
        <v>258.9156950853061</v>
      </c>
      <c r="W100" s="169">
        <f t="shared" si="25"/>
        <v>297.75304934810197</v>
      </c>
      <c r="X100" s="142" t="s">
        <v>140</v>
      </c>
    </row>
    <row r="101" spans="1:24" ht="15" customHeight="1">
      <c r="A101" s="155" t="s">
        <v>16</v>
      </c>
      <c r="B101" s="209">
        <v>0.1</v>
      </c>
      <c r="C101" s="227">
        <v>0.2</v>
      </c>
      <c r="D101" s="209">
        <f t="shared" si="31"/>
        <v>0.2</v>
      </c>
      <c r="E101" s="210">
        <f t="shared" si="32"/>
        <v>0.2</v>
      </c>
      <c r="F101" s="159">
        <f t="shared" si="22"/>
        <v>406.4212296387196</v>
      </c>
      <c r="G101" s="160">
        <f t="shared" si="22"/>
        <v>447.0633526025916</v>
      </c>
      <c r="H101" s="160">
        <f t="shared" si="22"/>
        <v>491.7696878628508</v>
      </c>
      <c r="I101" s="160">
        <f t="shared" si="22"/>
        <v>540.9466566491359</v>
      </c>
      <c r="J101" s="160">
        <f t="shared" si="22"/>
        <v>595.0413223140495</v>
      </c>
      <c r="K101" s="160">
        <f t="shared" si="22"/>
        <v>654.5454545454545</v>
      </c>
      <c r="L101" s="171">
        <v>720</v>
      </c>
      <c r="M101" s="160">
        <f aca="true" t="shared" si="33" ref="M101:P101">L101*(1+$C101)</f>
        <v>864</v>
      </c>
      <c r="N101" s="168">
        <f t="shared" si="33"/>
        <v>1036.8</v>
      </c>
      <c r="O101" s="168">
        <f t="shared" si="33"/>
        <v>1244.1599999999999</v>
      </c>
      <c r="P101" s="169">
        <f t="shared" si="33"/>
        <v>1492.9919999999997</v>
      </c>
      <c r="Q101" s="170">
        <f t="shared" si="24"/>
        <v>1791.5903999999996</v>
      </c>
      <c r="R101" s="169">
        <f t="shared" si="24"/>
        <v>2149.9084799999996</v>
      </c>
      <c r="S101" s="170">
        <f t="shared" si="25"/>
        <v>2579.8901759999994</v>
      </c>
      <c r="T101" s="168">
        <f t="shared" si="25"/>
        <v>3095.868211199999</v>
      </c>
      <c r="U101" s="168">
        <f t="shared" si="25"/>
        <v>3715.0418534399987</v>
      </c>
      <c r="V101" s="168">
        <f t="shared" si="25"/>
        <v>4458.050224127998</v>
      </c>
      <c r="W101" s="169">
        <f t="shared" si="25"/>
        <v>5349.660268953598</v>
      </c>
      <c r="X101" s="142" t="s">
        <v>141</v>
      </c>
    </row>
    <row r="102" spans="1:23" ht="15" customHeight="1">
      <c r="A102" s="197" t="s">
        <v>104</v>
      </c>
      <c r="B102" s="229"/>
      <c r="C102" s="230"/>
      <c r="D102" s="229"/>
      <c r="E102" s="230"/>
      <c r="F102" s="201">
        <f>SUM(F85:F101)</f>
        <v>17931.924268376297</v>
      </c>
      <c r="G102" s="202">
        <f aca="true" t="shared" si="34" ref="G102:W102">SUM(G85:G101)</f>
        <v>18041.81819173267</v>
      </c>
      <c r="H102" s="202">
        <f t="shared" si="34"/>
        <v>18463.276519207917</v>
      </c>
      <c r="I102" s="202">
        <f t="shared" si="34"/>
        <v>19218.4538604797</v>
      </c>
      <c r="J102" s="202">
        <f t="shared" si="34"/>
        <v>20344.133701100796</v>
      </c>
      <c r="K102" s="202">
        <f t="shared" si="34"/>
        <v>21895.633454080507</v>
      </c>
      <c r="L102" s="231">
        <f t="shared" si="34"/>
        <v>23953</v>
      </c>
      <c r="M102" s="202">
        <f t="shared" si="34"/>
        <v>25946.545</v>
      </c>
      <c r="N102" s="203">
        <f t="shared" si="34"/>
        <v>28322.925154999994</v>
      </c>
      <c r="O102" s="203">
        <f t="shared" si="34"/>
        <v>31159.859090964997</v>
      </c>
      <c r="P102" s="206">
        <f t="shared" si="34"/>
        <v>34558.13686535019</v>
      </c>
      <c r="Q102" s="205">
        <f t="shared" si="34"/>
        <v>38592.73660341805</v>
      </c>
      <c r="R102" s="206">
        <f t="shared" si="34"/>
        <v>43465.16118084211</v>
      </c>
      <c r="S102" s="205">
        <f t="shared" si="34"/>
        <v>49270.352120781616</v>
      </c>
      <c r="T102" s="203">
        <f t="shared" si="34"/>
        <v>56427.17086236219</v>
      </c>
      <c r="U102" s="203">
        <f t="shared" si="34"/>
        <v>65357.169570941274</v>
      </c>
      <c r="V102" s="203">
        <f t="shared" si="34"/>
        <v>76651.79319207031</v>
      </c>
      <c r="W102" s="206">
        <f t="shared" si="34"/>
        <v>91150.18875795117</v>
      </c>
    </row>
    <row r="103" spans="1:23" ht="15" customHeight="1">
      <c r="A103" s="236"/>
      <c r="B103" s="237"/>
      <c r="C103" s="237"/>
      <c r="D103" s="237"/>
      <c r="E103" s="237"/>
      <c r="F103" s="238"/>
      <c r="G103" s="238"/>
      <c r="H103" s="238"/>
      <c r="I103" s="238"/>
      <c r="J103" s="238"/>
      <c r="K103" s="238"/>
      <c r="L103" s="239"/>
      <c r="M103" s="238"/>
      <c r="N103" s="240"/>
      <c r="O103" s="240"/>
      <c r="P103" s="240"/>
      <c r="Q103" s="240"/>
      <c r="R103" s="240"/>
      <c r="S103" s="240"/>
      <c r="T103" s="240"/>
      <c r="U103" s="240"/>
      <c r="V103" s="240"/>
      <c r="W103" s="240"/>
    </row>
    <row r="104" spans="1:23" ht="30" customHeight="1">
      <c r="A104" s="232" t="s">
        <v>142</v>
      </c>
      <c r="B104" s="153" t="s">
        <v>354</v>
      </c>
      <c r="C104" s="154" t="s">
        <v>366</v>
      </c>
      <c r="D104" s="153" t="s">
        <v>72</v>
      </c>
      <c r="E104" s="154" t="s">
        <v>73</v>
      </c>
      <c r="F104" s="153">
        <v>2013</v>
      </c>
      <c r="G104" s="152">
        <v>2014</v>
      </c>
      <c r="H104" s="152">
        <v>2015</v>
      </c>
      <c r="I104" s="152">
        <v>2016</v>
      </c>
      <c r="J104" s="152">
        <v>2017</v>
      </c>
      <c r="K104" s="152">
        <v>2018</v>
      </c>
      <c r="L104" s="152">
        <v>2019</v>
      </c>
      <c r="M104" s="152">
        <v>2020</v>
      </c>
      <c r="N104" s="152">
        <v>2021</v>
      </c>
      <c r="O104" s="152">
        <v>2022</v>
      </c>
      <c r="P104" s="154">
        <v>2023</v>
      </c>
      <c r="Q104" s="153">
        <v>2024</v>
      </c>
      <c r="R104" s="154">
        <v>2025</v>
      </c>
      <c r="S104" s="153">
        <v>2026</v>
      </c>
      <c r="T104" s="152">
        <v>2027</v>
      </c>
      <c r="U104" s="152">
        <v>2028</v>
      </c>
      <c r="V104" s="152">
        <v>2029</v>
      </c>
      <c r="W104" s="154">
        <v>2030</v>
      </c>
    </row>
    <row r="105" spans="1:24" ht="22.75" customHeight="1">
      <c r="A105" s="155" t="s">
        <v>74</v>
      </c>
      <c r="B105" s="209">
        <v>0</v>
      </c>
      <c r="C105" s="210">
        <v>0</v>
      </c>
      <c r="D105" s="209">
        <f aca="true" t="shared" si="35" ref="D105:D121">C105</f>
        <v>0</v>
      </c>
      <c r="E105" s="210">
        <f aca="true" t="shared" si="36" ref="E105:E121">C105</f>
        <v>0</v>
      </c>
      <c r="F105" s="159">
        <f aca="true" t="shared" si="37" ref="F105:K121">G105/(1+$B105)</f>
        <v>130</v>
      </c>
      <c r="G105" s="160">
        <f t="shared" si="37"/>
        <v>130</v>
      </c>
      <c r="H105" s="160">
        <f t="shared" si="37"/>
        <v>130</v>
      </c>
      <c r="I105" s="160">
        <f t="shared" si="37"/>
        <v>130</v>
      </c>
      <c r="J105" s="160">
        <f t="shared" si="37"/>
        <v>130</v>
      </c>
      <c r="K105" s="160">
        <f t="shared" si="37"/>
        <v>130</v>
      </c>
      <c r="L105" s="171">
        <v>130</v>
      </c>
      <c r="M105" s="160">
        <f aca="true" t="shared" si="38" ref="M105:P130">(1+$C105)*L105</f>
        <v>130</v>
      </c>
      <c r="N105" s="160">
        <f t="shared" si="38"/>
        <v>130</v>
      </c>
      <c r="O105" s="168">
        <f t="shared" si="38"/>
        <v>130</v>
      </c>
      <c r="P105" s="169">
        <f t="shared" si="38"/>
        <v>130</v>
      </c>
      <c r="Q105" s="170">
        <f aca="true" t="shared" si="39" ref="Q105:R130">(1+$D105)*P105</f>
        <v>130</v>
      </c>
      <c r="R105" s="169">
        <f>(1+$D105)*Q105</f>
        <v>130</v>
      </c>
      <c r="S105" s="170">
        <f aca="true" t="shared" si="40" ref="S105:W130">(1+$E105)*R105</f>
        <v>130</v>
      </c>
      <c r="T105" s="168">
        <f aca="true" t="shared" si="41" ref="T105:W105">(1+$E105)*S105</f>
        <v>130</v>
      </c>
      <c r="U105" s="168">
        <f t="shared" si="41"/>
        <v>130</v>
      </c>
      <c r="V105" s="168">
        <f t="shared" si="41"/>
        <v>130</v>
      </c>
      <c r="W105" s="169">
        <f t="shared" si="41"/>
        <v>130</v>
      </c>
      <c r="X105" s="142" t="s">
        <v>109</v>
      </c>
    </row>
    <row r="106" spans="1:24" ht="15" customHeight="1">
      <c r="A106" s="155" t="s">
        <v>76</v>
      </c>
      <c r="B106" s="209">
        <v>0.03</v>
      </c>
      <c r="C106" s="210">
        <v>0.03</v>
      </c>
      <c r="D106" s="209">
        <f t="shared" si="35"/>
        <v>0.03</v>
      </c>
      <c r="E106" s="210">
        <f t="shared" si="36"/>
        <v>0.03</v>
      </c>
      <c r="F106" s="159">
        <f t="shared" si="37"/>
        <v>50.24905540101925</v>
      </c>
      <c r="G106" s="160">
        <f t="shared" si="37"/>
        <v>51.75652706304983</v>
      </c>
      <c r="H106" s="160">
        <f t="shared" si="37"/>
        <v>53.30922287494133</v>
      </c>
      <c r="I106" s="160">
        <f t="shared" si="37"/>
        <v>54.908499561189565</v>
      </c>
      <c r="J106" s="160">
        <f t="shared" si="37"/>
        <v>56.555754548025256</v>
      </c>
      <c r="K106" s="160">
        <f t="shared" si="37"/>
        <v>58.252427184466015</v>
      </c>
      <c r="L106" s="190">
        <v>60</v>
      </c>
      <c r="M106" s="160">
        <v>70</v>
      </c>
      <c r="N106" s="160">
        <v>70</v>
      </c>
      <c r="O106" s="168">
        <f>(1+$C106)*N106</f>
        <v>72.10000000000001</v>
      </c>
      <c r="P106" s="169">
        <f t="shared" si="38"/>
        <v>74.263</v>
      </c>
      <c r="Q106" s="170">
        <f t="shared" si="39"/>
        <v>76.49089000000001</v>
      </c>
      <c r="R106" s="169">
        <f t="shared" si="39"/>
        <v>78.7856167</v>
      </c>
      <c r="S106" s="170">
        <f t="shared" si="40"/>
        <v>81.14918520100001</v>
      </c>
      <c r="T106" s="168">
        <f t="shared" si="40"/>
        <v>83.58366075703002</v>
      </c>
      <c r="U106" s="168">
        <f t="shared" si="40"/>
        <v>86.09117057974092</v>
      </c>
      <c r="V106" s="168">
        <f t="shared" si="40"/>
        <v>88.67390569713315</v>
      </c>
      <c r="W106" s="169">
        <f t="shared" si="40"/>
        <v>91.33412286804715</v>
      </c>
      <c r="X106" s="142" t="s">
        <v>109</v>
      </c>
    </row>
    <row r="107" spans="1:24" ht="15" customHeight="1">
      <c r="A107" s="155" t="s">
        <v>78</v>
      </c>
      <c r="B107" s="209">
        <v>0</v>
      </c>
      <c r="C107" s="210">
        <v>0</v>
      </c>
      <c r="D107" s="209">
        <f t="shared" si="35"/>
        <v>0</v>
      </c>
      <c r="E107" s="210">
        <f t="shared" si="36"/>
        <v>0</v>
      </c>
      <c r="F107" s="159">
        <f t="shared" si="37"/>
        <v>56</v>
      </c>
      <c r="G107" s="160">
        <f t="shared" si="37"/>
        <v>56</v>
      </c>
      <c r="H107" s="160">
        <f t="shared" si="37"/>
        <v>56</v>
      </c>
      <c r="I107" s="160">
        <f t="shared" si="37"/>
        <v>56</v>
      </c>
      <c r="J107" s="160">
        <f t="shared" si="37"/>
        <v>56</v>
      </c>
      <c r="K107" s="160">
        <f t="shared" si="37"/>
        <v>56</v>
      </c>
      <c r="L107" s="171">
        <v>56</v>
      </c>
      <c r="M107" s="160">
        <f t="shared" si="38"/>
        <v>56</v>
      </c>
      <c r="N107" s="160">
        <f t="shared" si="38"/>
        <v>56</v>
      </c>
      <c r="O107" s="168">
        <f t="shared" si="38"/>
        <v>56</v>
      </c>
      <c r="P107" s="169">
        <f t="shared" si="38"/>
        <v>56</v>
      </c>
      <c r="Q107" s="170">
        <f t="shared" si="39"/>
        <v>56</v>
      </c>
      <c r="R107" s="169">
        <f t="shared" si="39"/>
        <v>56</v>
      </c>
      <c r="S107" s="170">
        <f t="shared" si="40"/>
        <v>56</v>
      </c>
      <c r="T107" s="168">
        <f t="shared" si="40"/>
        <v>56</v>
      </c>
      <c r="U107" s="168">
        <f t="shared" si="40"/>
        <v>56</v>
      </c>
      <c r="V107" s="168">
        <f t="shared" si="40"/>
        <v>56</v>
      </c>
      <c r="W107" s="169">
        <f t="shared" si="40"/>
        <v>56</v>
      </c>
      <c r="X107" s="142" t="s">
        <v>143</v>
      </c>
    </row>
    <row r="108" spans="1:24" ht="15" customHeight="1">
      <c r="A108" s="155" t="s">
        <v>79</v>
      </c>
      <c r="B108" s="209">
        <v>0</v>
      </c>
      <c r="C108" s="210">
        <v>0</v>
      </c>
      <c r="D108" s="209">
        <f t="shared" si="35"/>
        <v>0</v>
      </c>
      <c r="E108" s="210">
        <f t="shared" si="36"/>
        <v>0</v>
      </c>
      <c r="F108" s="159">
        <f t="shared" si="37"/>
        <v>55</v>
      </c>
      <c r="G108" s="160">
        <f t="shared" si="37"/>
        <v>55</v>
      </c>
      <c r="H108" s="160">
        <f t="shared" si="37"/>
        <v>55</v>
      </c>
      <c r="I108" s="160">
        <f t="shared" si="37"/>
        <v>55</v>
      </c>
      <c r="J108" s="160">
        <f t="shared" si="37"/>
        <v>55</v>
      </c>
      <c r="K108" s="160">
        <f t="shared" si="37"/>
        <v>55</v>
      </c>
      <c r="L108" s="171">
        <v>55</v>
      </c>
      <c r="M108" s="160">
        <f t="shared" si="38"/>
        <v>55</v>
      </c>
      <c r="N108" s="160">
        <f t="shared" si="38"/>
        <v>55</v>
      </c>
      <c r="O108" s="168">
        <f t="shared" si="38"/>
        <v>55</v>
      </c>
      <c r="P108" s="169">
        <f t="shared" si="38"/>
        <v>55</v>
      </c>
      <c r="Q108" s="170">
        <f t="shared" si="39"/>
        <v>55</v>
      </c>
      <c r="R108" s="169">
        <f t="shared" si="39"/>
        <v>55</v>
      </c>
      <c r="S108" s="170">
        <f t="shared" si="40"/>
        <v>55</v>
      </c>
      <c r="T108" s="168">
        <f t="shared" si="40"/>
        <v>55</v>
      </c>
      <c r="U108" s="168">
        <f t="shared" si="40"/>
        <v>55</v>
      </c>
      <c r="V108" s="168">
        <f t="shared" si="40"/>
        <v>55</v>
      </c>
      <c r="W108" s="169">
        <f t="shared" si="40"/>
        <v>55</v>
      </c>
      <c r="X108" s="142" t="s">
        <v>144</v>
      </c>
    </row>
    <row r="109" spans="1:24" ht="15" customHeight="1">
      <c r="A109" s="155" t="s">
        <v>81</v>
      </c>
      <c r="B109" s="209">
        <v>-0.03</v>
      </c>
      <c r="C109" s="210">
        <v>-0.03</v>
      </c>
      <c r="D109" s="209">
        <f t="shared" si="35"/>
        <v>-0.03</v>
      </c>
      <c r="E109" s="210">
        <f t="shared" si="36"/>
        <v>-0.03</v>
      </c>
      <c r="F109" s="159">
        <f t="shared" si="37"/>
        <v>168.07287540465802</v>
      </c>
      <c r="G109" s="160">
        <f t="shared" si="37"/>
        <v>163.03068914251827</v>
      </c>
      <c r="H109" s="168">
        <f t="shared" si="37"/>
        <v>158.13976846824272</v>
      </c>
      <c r="I109" s="168">
        <f t="shared" si="37"/>
        <v>153.39557541419543</v>
      </c>
      <c r="J109" s="160">
        <f t="shared" si="37"/>
        <v>148.79370815176958</v>
      </c>
      <c r="K109" s="160">
        <f t="shared" si="37"/>
        <v>144.3298969072165</v>
      </c>
      <c r="L109" s="171">
        <v>140</v>
      </c>
      <c r="M109" s="160">
        <f t="shared" si="38"/>
        <v>135.79999999999998</v>
      </c>
      <c r="N109" s="160">
        <f t="shared" si="38"/>
        <v>131.72599999999997</v>
      </c>
      <c r="O109" s="168">
        <f t="shared" si="38"/>
        <v>127.77421999999997</v>
      </c>
      <c r="P109" s="169">
        <f t="shared" si="38"/>
        <v>123.94099339999997</v>
      </c>
      <c r="Q109" s="170">
        <f t="shared" si="39"/>
        <v>120.22276359799997</v>
      </c>
      <c r="R109" s="169">
        <f t="shared" si="39"/>
        <v>116.61608069005997</v>
      </c>
      <c r="S109" s="170">
        <f t="shared" si="40"/>
        <v>113.11759826935817</v>
      </c>
      <c r="T109" s="168">
        <f t="shared" si="40"/>
        <v>109.72407032127742</v>
      </c>
      <c r="U109" s="168">
        <f t="shared" si="40"/>
        <v>106.4323482116391</v>
      </c>
      <c r="V109" s="168">
        <f t="shared" si="40"/>
        <v>103.23937776528992</v>
      </c>
      <c r="W109" s="169">
        <f t="shared" si="40"/>
        <v>100.14219643233122</v>
      </c>
      <c r="X109" s="142" t="s">
        <v>145</v>
      </c>
    </row>
    <row r="110" spans="1:24" ht="15" customHeight="1">
      <c r="A110" s="155" t="s">
        <v>30</v>
      </c>
      <c r="B110" s="209">
        <v>0.1</v>
      </c>
      <c r="C110" s="210">
        <v>0.07</v>
      </c>
      <c r="D110" s="209">
        <f t="shared" si="35"/>
        <v>0.07</v>
      </c>
      <c r="E110" s="210">
        <f t="shared" si="36"/>
        <v>0.07</v>
      </c>
      <c r="F110" s="159">
        <f t="shared" si="37"/>
        <v>2.822369650268886</v>
      </c>
      <c r="G110" s="160">
        <f t="shared" si="37"/>
        <v>3.1046066152957748</v>
      </c>
      <c r="H110" s="160">
        <f t="shared" si="37"/>
        <v>3.4150672768253525</v>
      </c>
      <c r="I110" s="160">
        <f t="shared" si="37"/>
        <v>3.756574004507888</v>
      </c>
      <c r="J110" s="160">
        <f t="shared" si="37"/>
        <v>4.132231404958677</v>
      </c>
      <c r="K110" s="160">
        <f t="shared" si="37"/>
        <v>4.545454545454545</v>
      </c>
      <c r="L110" s="190">
        <v>5</v>
      </c>
      <c r="M110" s="160">
        <f t="shared" si="38"/>
        <v>5.3500000000000005</v>
      </c>
      <c r="N110" s="160">
        <f t="shared" si="38"/>
        <v>5.724500000000001</v>
      </c>
      <c r="O110" s="168">
        <f t="shared" si="38"/>
        <v>6.125215000000002</v>
      </c>
      <c r="P110" s="169">
        <f t="shared" si="38"/>
        <v>6.5539800500000025</v>
      </c>
      <c r="Q110" s="170">
        <f t="shared" si="39"/>
        <v>7.012758653500003</v>
      </c>
      <c r="R110" s="169">
        <f t="shared" si="39"/>
        <v>7.503651759245004</v>
      </c>
      <c r="S110" s="170">
        <f t="shared" si="40"/>
        <v>8.028907382392156</v>
      </c>
      <c r="T110" s="168">
        <f t="shared" si="40"/>
        <v>8.590930899159607</v>
      </c>
      <c r="U110" s="168">
        <f t="shared" si="40"/>
        <v>9.19229606210078</v>
      </c>
      <c r="V110" s="168">
        <f t="shared" si="40"/>
        <v>9.835756786447835</v>
      </c>
      <c r="W110" s="169">
        <f t="shared" si="40"/>
        <v>10.524259761499184</v>
      </c>
      <c r="X110" s="142" t="s">
        <v>146</v>
      </c>
    </row>
    <row r="111" spans="1:24" ht="15" customHeight="1">
      <c r="A111" s="155" t="s">
        <v>84</v>
      </c>
      <c r="B111" s="209">
        <v>0</v>
      </c>
      <c r="C111" s="210">
        <v>0</v>
      </c>
      <c r="D111" s="209">
        <f t="shared" si="35"/>
        <v>0</v>
      </c>
      <c r="E111" s="210">
        <f t="shared" si="36"/>
        <v>0</v>
      </c>
      <c r="F111" s="159">
        <f t="shared" si="37"/>
        <v>12</v>
      </c>
      <c r="G111" s="160">
        <f t="shared" si="37"/>
        <v>12</v>
      </c>
      <c r="H111" s="160">
        <f t="shared" si="37"/>
        <v>12</v>
      </c>
      <c r="I111" s="160">
        <f t="shared" si="37"/>
        <v>12</v>
      </c>
      <c r="J111" s="160">
        <f t="shared" si="37"/>
        <v>12</v>
      </c>
      <c r="K111" s="160">
        <f t="shared" si="37"/>
        <v>12</v>
      </c>
      <c r="L111" s="190">
        <v>12</v>
      </c>
      <c r="M111" s="160">
        <f t="shared" si="38"/>
        <v>12</v>
      </c>
      <c r="N111" s="160">
        <f t="shared" si="38"/>
        <v>12</v>
      </c>
      <c r="O111" s="168">
        <f t="shared" si="38"/>
        <v>12</v>
      </c>
      <c r="P111" s="169">
        <f t="shared" si="38"/>
        <v>12</v>
      </c>
      <c r="Q111" s="170">
        <f t="shared" si="39"/>
        <v>12</v>
      </c>
      <c r="R111" s="169">
        <f t="shared" si="39"/>
        <v>12</v>
      </c>
      <c r="S111" s="170">
        <f t="shared" si="40"/>
        <v>12</v>
      </c>
      <c r="T111" s="168">
        <f t="shared" si="40"/>
        <v>12</v>
      </c>
      <c r="U111" s="168">
        <f t="shared" si="40"/>
        <v>12</v>
      </c>
      <c r="V111" s="168">
        <f t="shared" si="40"/>
        <v>12</v>
      </c>
      <c r="W111" s="169">
        <f t="shared" si="40"/>
        <v>12</v>
      </c>
      <c r="X111" s="142" t="s">
        <v>147</v>
      </c>
    </row>
    <row r="112" spans="1:24" ht="15" customHeight="1">
      <c r="A112" s="155" t="s">
        <v>86</v>
      </c>
      <c r="B112" s="209">
        <v>0</v>
      </c>
      <c r="C112" s="210">
        <v>0</v>
      </c>
      <c r="D112" s="209">
        <f t="shared" si="35"/>
        <v>0</v>
      </c>
      <c r="E112" s="210">
        <f t="shared" si="36"/>
        <v>0</v>
      </c>
      <c r="F112" s="159">
        <f t="shared" si="37"/>
        <v>1</v>
      </c>
      <c r="G112" s="160">
        <f t="shared" si="37"/>
        <v>1</v>
      </c>
      <c r="H112" s="160">
        <f t="shared" si="37"/>
        <v>1</v>
      </c>
      <c r="I112" s="160">
        <f t="shared" si="37"/>
        <v>1</v>
      </c>
      <c r="J112" s="160">
        <f t="shared" si="37"/>
        <v>1</v>
      </c>
      <c r="K112" s="160">
        <f t="shared" si="37"/>
        <v>1</v>
      </c>
      <c r="L112" s="171">
        <v>1</v>
      </c>
      <c r="M112" s="160">
        <f t="shared" si="38"/>
        <v>1</v>
      </c>
      <c r="N112" s="160">
        <f t="shared" si="38"/>
        <v>1</v>
      </c>
      <c r="O112" s="168">
        <f t="shared" si="38"/>
        <v>1</v>
      </c>
      <c r="P112" s="169">
        <f t="shared" si="38"/>
        <v>1</v>
      </c>
      <c r="Q112" s="170">
        <f t="shared" si="39"/>
        <v>1</v>
      </c>
      <c r="R112" s="169">
        <f t="shared" si="39"/>
        <v>1</v>
      </c>
      <c r="S112" s="170">
        <f t="shared" si="40"/>
        <v>1</v>
      </c>
      <c r="T112" s="168">
        <f t="shared" si="40"/>
        <v>1</v>
      </c>
      <c r="U112" s="168">
        <f t="shared" si="40"/>
        <v>1</v>
      </c>
      <c r="V112" s="168">
        <f t="shared" si="40"/>
        <v>1</v>
      </c>
      <c r="W112" s="169">
        <f t="shared" si="40"/>
        <v>1</v>
      </c>
      <c r="X112" s="142" t="s">
        <v>148</v>
      </c>
    </row>
    <row r="113" spans="1:23" ht="15" customHeight="1">
      <c r="A113" s="212" t="s">
        <v>88</v>
      </c>
      <c r="B113" s="209">
        <v>0</v>
      </c>
      <c r="C113" s="210">
        <v>-0.05</v>
      </c>
      <c r="D113" s="209">
        <f t="shared" si="35"/>
        <v>-0.05</v>
      </c>
      <c r="E113" s="210">
        <f t="shared" si="36"/>
        <v>-0.05</v>
      </c>
      <c r="F113" s="159">
        <f t="shared" si="37"/>
        <v>8.76</v>
      </c>
      <c r="G113" s="160">
        <f t="shared" si="37"/>
        <v>8.76</v>
      </c>
      <c r="H113" s="168">
        <f t="shared" si="37"/>
        <v>8.76</v>
      </c>
      <c r="I113" s="168">
        <f t="shared" si="37"/>
        <v>8.76</v>
      </c>
      <c r="J113" s="168">
        <f t="shared" si="37"/>
        <v>8.76</v>
      </c>
      <c r="K113" s="168">
        <f t="shared" si="37"/>
        <v>8.76</v>
      </c>
      <c r="L113" s="171">
        <f>1*24*365/1000</f>
        <v>8.76</v>
      </c>
      <c r="M113" s="168">
        <f t="shared" si="38"/>
        <v>8.322</v>
      </c>
      <c r="N113" s="160">
        <f t="shared" si="38"/>
        <v>7.905899999999999</v>
      </c>
      <c r="O113" s="168">
        <f t="shared" si="38"/>
        <v>7.510604999999999</v>
      </c>
      <c r="P113" s="169">
        <f t="shared" si="38"/>
        <v>7.1350747499999985</v>
      </c>
      <c r="Q113" s="170">
        <f t="shared" si="39"/>
        <v>6.778321012499998</v>
      </c>
      <c r="R113" s="169">
        <f t="shared" si="39"/>
        <v>6.439404961874998</v>
      </c>
      <c r="S113" s="170">
        <f t="shared" si="40"/>
        <v>6.117434713781248</v>
      </c>
      <c r="T113" s="168">
        <f t="shared" si="40"/>
        <v>5.811562978092185</v>
      </c>
      <c r="U113" s="168">
        <f t="shared" si="40"/>
        <v>5.520984829187576</v>
      </c>
      <c r="V113" s="168">
        <f t="shared" si="40"/>
        <v>5.244935587728197</v>
      </c>
      <c r="W113" s="169">
        <f t="shared" si="40"/>
        <v>4.982688808341787</v>
      </c>
    </row>
    <row r="114" spans="1:24" ht="15" customHeight="1">
      <c r="A114" s="155" t="s">
        <v>90</v>
      </c>
      <c r="B114" s="209">
        <v>-0.02</v>
      </c>
      <c r="C114" s="210">
        <v>0.03</v>
      </c>
      <c r="D114" s="209">
        <f t="shared" si="35"/>
        <v>0.03</v>
      </c>
      <c r="E114" s="210">
        <f t="shared" si="36"/>
        <v>0.03</v>
      </c>
      <c r="F114" s="159">
        <f t="shared" si="37"/>
        <v>242.70683435838927</v>
      </c>
      <c r="G114" s="160">
        <f t="shared" si="37"/>
        <v>237.85269767122148</v>
      </c>
      <c r="H114" s="160">
        <f t="shared" si="37"/>
        <v>233.09564371779703</v>
      </c>
      <c r="I114" s="193">
        <f t="shared" si="37"/>
        <v>228.43373084344108</v>
      </c>
      <c r="J114" s="193">
        <f t="shared" si="37"/>
        <v>223.86505622657225</v>
      </c>
      <c r="K114" s="193">
        <f>L114/(1+$B114)</f>
        <v>219.3877551020408</v>
      </c>
      <c r="L114" s="190">
        <v>215</v>
      </c>
      <c r="M114" s="160">
        <f t="shared" si="38"/>
        <v>221.45000000000002</v>
      </c>
      <c r="N114" s="160">
        <f t="shared" si="38"/>
        <v>228.09350000000003</v>
      </c>
      <c r="O114" s="168">
        <f>(1+$C114)*N114</f>
        <v>234.93630500000003</v>
      </c>
      <c r="P114" s="169">
        <f t="shared" si="38"/>
        <v>241.98439415000004</v>
      </c>
      <c r="Q114" s="170">
        <f t="shared" si="39"/>
        <v>249.24392597450006</v>
      </c>
      <c r="R114" s="169">
        <f t="shared" si="39"/>
        <v>256.72124375373505</v>
      </c>
      <c r="S114" s="170">
        <f t="shared" si="40"/>
        <v>264.4228810663471</v>
      </c>
      <c r="T114" s="168">
        <f t="shared" si="40"/>
        <v>272.3555674983375</v>
      </c>
      <c r="U114" s="168">
        <f t="shared" si="40"/>
        <v>280.52623452328766</v>
      </c>
      <c r="V114" s="168">
        <f t="shared" si="40"/>
        <v>288.9420215589863</v>
      </c>
      <c r="W114" s="169">
        <f t="shared" si="40"/>
        <v>297.61028220575594</v>
      </c>
      <c r="X114" s="142" t="s">
        <v>149</v>
      </c>
    </row>
    <row r="115" spans="1:24" ht="15" customHeight="1">
      <c r="A115" s="155" t="s">
        <v>92</v>
      </c>
      <c r="B115" s="209">
        <v>0</v>
      </c>
      <c r="C115" s="210">
        <v>0</v>
      </c>
      <c r="D115" s="209">
        <f t="shared" si="35"/>
        <v>0</v>
      </c>
      <c r="E115" s="210">
        <f t="shared" si="36"/>
        <v>0</v>
      </c>
      <c r="F115" s="159">
        <f t="shared" si="37"/>
        <v>40</v>
      </c>
      <c r="G115" s="160">
        <f t="shared" si="37"/>
        <v>40</v>
      </c>
      <c r="H115" s="160">
        <f t="shared" si="37"/>
        <v>40</v>
      </c>
      <c r="I115" s="160">
        <f t="shared" si="37"/>
        <v>40</v>
      </c>
      <c r="J115" s="160">
        <f t="shared" si="37"/>
        <v>40</v>
      </c>
      <c r="K115" s="160">
        <f t="shared" si="37"/>
        <v>40</v>
      </c>
      <c r="L115" s="171">
        <v>40</v>
      </c>
      <c r="M115" s="160">
        <f t="shared" si="38"/>
        <v>40</v>
      </c>
      <c r="N115" s="160">
        <f t="shared" si="38"/>
        <v>40</v>
      </c>
      <c r="O115" s="168">
        <f t="shared" si="38"/>
        <v>40</v>
      </c>
      <c r="P115" s="169">
        <f t="shared" si="38"/>
        <v>40</v>
      </c>
      <c r="Q115" s="170">
        <f t="shared" si="39"/>
        <v>40</v>
      </c>
      <c r="R115" s="169">
        <f t="shared" si="39"/>
        <v>40</v>
      </c>
      <c r="S115" s="170">
        <f t="shared" si="40"/>
        <v>40</v>
      </c>
      <c r="T115" s="168">
        <f t="shared" si="40"/>
        <v>40</v>
      </c>
      <c r="U115" s="168">
        <f t="shared" si="40"/>
        <v>40</v>
      </c>
      <c r="V115" s="168">
        <f t="shared" si="40"/>
        <v>40</v>
      </c>
      <c r="W115" s="169">
        <f t="shared" si="40"/>
        <v>40</v>
      </c>
      <c r="X115" s="142" t="s">
        <v>150</v>
      </c>
    </row>
    <row r="116" spans="1:24" ht="15" customHeight="1">
      <c r="A116" s="155" t="s">
        <v>94</v>
      </c>
      <c r="B116" s="209">
        <v>0</v>
      </c>
      <c r="C116" s="210">
        <v>0</v>
      </c>
      <c r="D116" s="209">
        <f t="shared" si="35"/>
        <v>0</v>
      </c>
      <c r="E116" s="210">
        <f t="shared" si="36"/>
        <v>0</v>
      </c>
      <c r="F116" s="159">
        <f t="shared" si="37"/>
        <v>170</v>
      </c>
      <c r="G116" s="160">
        <f t="shared" si="37"/>
        <v>170</v>
      </c>
      <c r="H116" s="160">
        <f t="shared" si="37"/>
        <v>170</v>
      </c>
      <c r="I116" s="160">
        <f t="shared" si="37"/>
        <v>170</v>
      </c>
      <c r="J116" s="160">
        <f t="shared" si="37"/>
        <v>170</v>
      </c>
      <c r="K116" s="160">
        <f t="shared" si="37"/>
        <v>170</v>
      </c>
      <c r="L116" s="171">
        <v>170</v>
      </c>
      <c r="M116" s="160">
        <f t="shared" si="38"/>
        <v>170</v>
      </c>
      <c r="N116" s="160">
        <f t="shared" si="38"/>
        <v>170</v>
      </c>
      <c r="O116" s="168">
        <f t="shared" si="38"/>
        <v>170</v>
      </c>
      <c r="P116" s="169">
        <f t="shared" si="38"/>
        <v>170</v>
      </c>
      <c r="Q116" s="170">
        <f t="shared" si="39"/>
        <v>170</v>
      </c>
      <c r="R116" s="169">
        <f t="shared" si="39"/>
        <v>170</v>
      </c>
      <c r="S116" s="170">
        <f t="shared" si="40"/>
        <v>170</v>
      </c>
      <c r="T116" s="168">
        <f t="shared" si="40"/>
        <v>170</v>
      </c>
      <c r="U116" s="168">
        <f t="shared" si="40"/>
        <v>170</v>
      </c>
      <c r="V116" s="168">
        <f t="shared" si="40"/>
        <v>170</v>
      </c>
      <c r="W116" s="169">
        <f t="shared" si="40"/>
        <v>170</v>
      </c>
      <c r="X116" s="142" t="s">
        <v>151</v>
      </c>
    </row>
    <row r="117" spans="1:24" ht="15" customHeight="1">
      <c r="A117" s="155" t="s">
        <v>96</v>
      </c>
      <c r="B117" s="209">
        <v>0</v>
      </c>
      <c r="C117" s="210">
        <v>0</v>
      </c>
      <c r="D117" s="209">
        <f t="shared" si="35"/>
        <v>0</v>
      </c>
      <c r="E117" s="210">
        <f t="shared" si="36"/>
        <v>0</v>
      </c>
      <c r="F117" s="159">
        <f t="shared" si="37"/>
        <v>8</v>
      </c>
      <c r="G117" s="160">
        <f t="shared" si="37"/>
        <v>8</v>
      </c>
      <c r="H117" s="160">
        <f t="shared" si="37"/>
        <v>8</v>
      </c>
      <c r="I117" s="160">
        <f t="shared" si="37"/>
        <v>8</v>
      </c>
      <c r="J117" s="160">
        <f t="shared" si="37"/>
        <v>8</v>
      </c>
      <c r="K117" s="160">
        <f t="shared" si="37"/>
        <v>8</v>
      </c>
      <c r="L117" s="171">
        <v>8</v>
      </c>
      <c r="M117" s="160">
        <f t="shared" si="38"/>
        <v>8</v>
      </c>
      <c r="N117" s="160">
        <f t="shared" si="38"/>
        <v>8</v>
      </c>
      <c r="O117" s="168">
        <f t="shared" si="38"/>
        <v>8</v>
      </c>
      <c r="P117" s="169">
        <f t="shared" si="38"/>
        <v>8</v>
      </c>
      <c r="Q117" s="170">
        <f t="shared" si="39"/>
        <v>8</v>
      </c>
      <c r="R117" s="169">
        <f t="shared" si="39"/>
        <v>8</v>
      </c>
      <c r="S117" s="170">
        <f t="shared" si="40"/>
        <v>8</v>
      </c>
      <c r="T117" s="168">
        <f t="shared" si="40"/>
        <v>8</v>
      </c>
      <c r="U117" s="168">
        <f t="shared" si="40"/>
        <v>8</v>
      </c>
      <c r="V117" s="168">
        <f t="shared" si="40"/>
        <v>8</v>
      </c>
      <c r="W117" s="169">
        <f t="shared" si="40"/>
        <v>8</v>
      </c>
      <c r="X117" s="142" t="s">
        <v>152</v>
      </c>
    </row>
    <row r="118" spans="1:24" ht="15" customHeight="1">
      <c r="A118" s="155" t="s">
        <v>5</v>
      </c>
      <c r="B118" s="209">
        <v>0</v>
      </c>
      <c r="C118" s="210">
        <v>0.02</v>
      </c>
      <c r="D118" s="423">
        <f>'Input - Hyp CAGR MetaMetaverse'!I8</f>
        <v>0.03560566043182889</v>
      </c>
      <c r="E118" s="424">
        <f>'Input - Hyp CAGR MetaMetaverse'!I8</f>
        <v>0.03560566043182889</v>
      </c>
      <c r="F118" s="159">
        <f t="shared" si="37"/>
        <v>2</v>
      </c>
      <c r="G118" s="160">
        <f t="shared" si="37"/>
        <v>2</v>
      </c>
      <c r="H118" s="160">
        <f t="shared" si="37"/>
        <v>2</v>
      </c>
      <c r="I118" s="160">
        <f t="shared" si="37"/>
        <v>2</v>
      </c>
      <c r="J118" s="160">
        <f t="shared" si="37"/>
        <v>2</v>
      </c>
      <c r="K118" s="160">
        <f t="shared" si="37"/>
        <v>2</v>
      </c>
      <c r="L118" s="171">
        <v>2</v>
      </c>
      <c r="M118" s="160">
        <f t="shared" si="38"/>
        <v>2.04</v>
      </c>
      <c r="N118" s="168">
        <f t="shared" si="38"/>
        <v>2.0808</v>
      </c>
      <c r="O118" s="168">
        <f t="shared" si="38"/>
        <v>2.122416</v>
      </c>
      <c r="P118" s="169">
        <f t="shared" si="38"/>
        <v>2.16486432</v>
      </c>
      <c r="Q118" s="170">
        <f t="shared" si="39"/>
        <v>2.241945743858902</v>
      </c>
      <c r="R118" s="169">
        <f t="shared" si="39"/>
        <v>2.321771702721326</v>
      </c>
      <c r="S118" s="170">
        <f t="shared" si="40"/>
        <v>2.404439917568651</v>
      </c>
      <c r="T118" s="168">
        <f t="shared" si="40"/>
        <v>2.4900515888023347</v>
      </c>
      <c r="U118" s="168">
        <f t="shared" si="40"/>
        <v>2.5787115201309665</v>
      </c>
      <c r="V118" s="168">
        <f t="shared" si="40"/>
        <v>2.670528246868395</v>
      </c>
      <c r="W118" s="169">
        <f t="shared" si="40"/>
        <v>2.7656141687999987</v>
      </c>
      <c r="X118" s="142" t="s">
        <v>153</v>
      </c>
    </row>
    <row r="119" spans="1:24" ht="15" customHeight="1">
      <c r="A119" s="155" t="s">
        <v>33</v>
      </c>
      <c r="B119" s="209">
        <v>0</v>
      </c>
      <c r="C119" s="210">
        <v>0.02</v>
      </c>
      <c r="D119" s="209">
        <f t="shared" si="35"/>
        <v>0.02</v>
      </c>
      <c r="E119" s="210">
        <f t="shared" si="36"/>
        <v>0.02</v>
      </c>
      <c r="F119" s="159">
        <f t="shared" si="37"/>
        <v>44</v>
      </c>
      <c r="G119" s="160">
        <f t="shared" si="37"/>
        <v>44</v>
      </c>
      <c r="H119" s="160">
        <f t="shared" si="37"/>
        <v>44</v>
      </c>
      <c r="I119" s="160">
        <f t="shared" si="37"/>
        <v>44</v>
      </c>
      <c r="J119" s="160">
        <f t="shared" si="37"/>
        <v>44</v>
      </c>
      <c r="K119" s="160">
        <f t="shared" si="37"/>
        <v>44</v>
      </c>
      <c r="L119" s="171">
        <v>44</v>
      </c>
      <c r="M119" s="160">
        <f t="shared" si="38"/>
        <v>44.88</v>
      </c>
      <c r="N119" s="168">
        <f t="shared" si="38"/>
        <v>45.77760000000001</v>
      </c>
      <c r="O119" s="168">
        <f t="shared" si="38"/>
        <v>46.693152000000005</v>
      </c>
      <c r="P119" s="169">
        <f t="shared" si="38"/>
        <v>47.62701504</v>
      </c>
      <c r="Q119" s="170">
        <f t="shared" si="39"/>
        <v>48.579555340800006</v>
      </c>
      <c r="R119" s="169">
        <f t="shared" si="39"/>
        <v>49.551146447616006</v>
      </c>
      <c r="S119" s="170">
        <f t="shared" si="40"/>
        <v>50.542169376568324</v>
      </c>
      <c r="T119" s="168">
        <f t="shared" si="40"/>
        <v>51.55301276409969</v>
      </c>
      <c r="U119" s="168">
        <f t="shared" si="40"/>
        <v>52.584073019381684</v>
      </c>
      <c r="V119" s="168">
        <f t="shared" si="40"/>
        <v>53.63575447976932</v>
      </c>
      <c r="W119" s="169">
        <f t="shared" si="40"/>
        <v>54.7084695693647</v>
      </c>
      <c r="X119" s="142" t="s">
        <v>154</v>
      </c>
    </row>
    <row r="120" spans="1:24" ht="15" customHeight="1">
      <c r="A120" s="155" t="s">
        <v>101</v>
      </c>
      <c r="B120" s="209">
        <v>0.03</v>
      </c>
      <c r="C120" s="210">
        <v>0.03</v>
      </c>
      <c r="D120" s="209">
        <f t="shared" si="35"/>
        <v>0.03</v>
      </c>
      <c r="E120" s="210">
        <f t="shared" si="36"/>
        <v>0.03</v>
      </c>
      <c r="F120" s="159">
        <f t="shared" si="37"/>
        <v>1256.2263850254812</v>
      </c>
      <c r="G120" s="160">
        <f t="shared" si="37"/>
        <v>1293.9131765762456</v>
      </c>
      <c r="H120" s="160">
        <f t="shared" si="37"/>
        <v>1332.730571873533</v>
      </c>
      <c r="I120" s="160">
        <f t="shared" si="37"/>
        <v>1372.7124890297391</v>
      </c>
      <c r="J120" s="160">
        <f t="shared" si="37"/>
        <v>1413.8938637006313</v>
      </c>
      <c r="K120" s="160">
        <f t="shared" si="37"/>
        <v>1456.3106796116504</v>
      </c>
      <c r="L120" s="171">
        <v>1500</v>
      </c>
      <c r="M120" s="160">
        <f t="shared" si="38"/>
        <v>1545</v>
      </c>
      <c r="N120" s="168">
        <f t="shared" si="38"/>
        <v>1591.3500000000001</v>
      </c>
      <c r="O120" s="168">
        <f t="shared" si="38"/>
        <v>1639.0905000000002</v>
      </c>
      <c r="P120" s="169">
        <f t="shared" si="38"/>
        <v>1688.2632150000004</v>
      </c>
      <c r="Q120" s="170">
        <f t="shared" si="39"/>
        <v>1738.9111114500004</v>
      </c>
      <c r="R120" s="169">
        <f t="shared" si="39"/>
        <v>1791.0784447935005</v>
      </c>
      <c r="S120" s="170">
        <f t="shared" si="40"/>
        <v>1844.8107981373055</v>
      </c>
      <c r="T120" s="168">
        <f t="shared" si="40"/>
        <v>1900.1551220814247</v>
      </c>
      <c r="U120" s="168">
        <f t="shared" si="40"/>
        <v>1957.1597757438674</v>
      </c>
      <c r="V120" s="168">
        <f t="shared" si="40"/>
        <v>2015.8745690161834</v>
      </c>
      <c r="W120" s="169">
        <f t="shared" si="40"/>
        <v>2076.350806086669</v>
      </c>
      <c r="X120" s="142" t="s">
        <v>150</v>
      </c>
    </row>
    <row r="121" spans="1:24" ht="15" customHeight="1">
      <c r="A121" s="178" t="s">
        <v>16</v>
      </c>
      <c r="B121" s="217">
        <v>0</v>
      </c>
      <c r="C121" s="218">
        <v>0</v>
      </c>
      <c r="D121" s="217">
        <f t="shared" si="35"/>
        <v>0</v>
      </c>
      <c r="E121" s="218">
        <f t="shared" si="36"/>
        <v>0</v>
      </c>
      <c r="F121" s="219">
        <f t="shared" si="37"/>
        <v>26.28</v>
      </c>
      <c r="G121" s="220">
        <f t="shared" si="37"/>
        <v>26.28</v>
      </c>
      <c r="H121" s="220">
        <f t="shared" si="37"/>
        <v>26.28</v>
      </c>
      <c r="I121" s="220">
        <f t="shared" si="37"/>
        <v>26.28</v>
      </c>
      <c r="J121" s="220">
        <f t="shared" si="37"/>
        <v>26.28</v>
      </c>
      <c r="K121" s="220">
        <f t="shared" si="37"/>
        <v>26.28</v>
      </c>
      <c r="L121" s="221">
        <f>3*365*24/1000</f>
        <v>26.28</v>
      </c>
      <c r="M121" s="220">
        <f t="shared" si="38"/>
        <v>26.28</v>
      </c>
      <c r="N121" s="233">
        <f t="shared" si="38"/>
        <v>26.28</v>
      </c>
      <c r="O121" s="233">
        <f t="shared" si="38"/>
        <v>26.28</v>
      </c>
      <c r="P121" s="234">
        <f t="shared" si="38"/>
        <v>26.28</v>
      </c>
      <c r="Q121" s="235">
        <f t="shared" si="39"/>
        <v>26.28</v>
      </c>
      <c r="R121" s="234">
        <f t="shared" si="39"/>
        <v>26.28</v>
      </c>
      <c r="S121" s="235">
        <f t="shared" si="40"/>
        <v>26.28</v>
      </c>
      <c r="T121" s="233">
        <f t="shared" si="40"/>
        <v>26.28</v>
      </c>
      <c r="U121" s="233">
        <f t="shared" si="40"/>
        <v>26.28</v>
      </c>
      <c r="V121" s="233">
        <f t="shared" si="40"/>
        <v>26.28</v>
      </c>
      <c r="W121" s="234">
        <f t="shared" si="40"/>
        <v>26.28</v>
      </c>
      <c r="X121" s="142" t="s">
        <v>155</v>
      </c>
    </row>
    <row r="122" spans="1:23" ht="15" customHeight="1">
      <c r="A122" s="236"/>
      <c r="B122" s="237"/>
      <c r="C122" s="237"/>
      <c r="D122" s="237"/>
      <c r="E122" s="237"/>
      <c r="F122" s="238"/>
      <c r="G122" s="238"/>
      <c r="H122" s="238"/>
      <c r="I122" s="238"/>
      <c r="J122" s="238"/>
      <c r="K122" s="238"/>
      <c r="L122" s="239"/>
      <c r="M122" s="238"/>
      <c r="N122" s="240"/>
      <c r="O122" s="240"/>
      <c r="P122" s="240"/>
      <c r="Q122" s="240"/>
      <c r="R122" s="240"/>
      <c r="S122" s="240"/>
      <c r="T122" s="240"/>
      <c r="U122" s="240"/>
      <c r="V122" s="240"/>
      <c r="W122" s="240"/>
    </row>
    <row r="123" spans="1:23" ht="15" customHeight="1">
      <c r="A123" s="236"/>
      <c r="B123" s="237"/>
      <c r="C123" s="237"/>
      <c r="D123" s="237"/>
      <c r="E123" s="237"/>
      <c r="F123" s="238"/>
      <c r="G123" s="238"/>
      <c r="H123" s="238"/>
      <c r="I123" s="238"/>
      <c r="J123" s="238"/>
      <c r="K123" s="238"/>
      <c r="L123" s="239"/>
      <c r="M123" s="238"/>
      <c r="N123" s="240"/>
      <c r="O123" s="240"/>
      <c r="P123" s="240"/>
      <c r="Q123" s="240"/>
      <c r="R123" s="240"/>
      <c r="S123" s="240"/>
      <c r="T123" s="240"/>
      <c r="U123" s="240"/>
      <c r="V123" s="240"/>
      <c r="W123" s="240"/>
    </row>
    <row r="124" spans="1:23" ht="15" customHeight="1">
      <c r="A124" s="236"/>
      <c r="B124" s="237"/>
      <c r="C124" s="237"/>
      <c r="D124" s="237"/>
      <c r="E124" s="237"/>
      <c r="F124" s="238"/>
      <c r="G124" s="238"/>
      <c r="H124" s="238"/>
      <c r="I124" s="238"/>
      <c r="J124" s="238"/>
      <c r="K124" s="238"/>
      <c r="L124" s="239"/>
      <c r="M124" s="238"/>
      <c r="N124" s="240"/>
      <c r="O124" s="240"/>
      <c r="P124" s="240"/>
      <c r="Q124" s="240"/>
      <c r="R124" s="240"/>
      <c r="S124" s="240"/>
      <c r="T124" s="240"/>
      <c r="U124" s="240"/>
      <c r="V124" s="240"/>
      <c r="W124" s="240"/>
    </row>
    <row r="125" spans="1:23" ht="15" customHeight="1">
      <c r="A125" s="242"/>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row>
    <row r="126" spans="1:23" ht="15" customHeight="1">
      <c r="A126" s="207"/>
      <c r="B126" s="207"/>
      <c r="C126" s="207"/>
      <c r="D126" s="207"/>
      <c r="E126" s="207"/>
      <c r="F126" s="142"/>
      <c r="G126" s="142"/>
      <c r="H126" s="142"/>
      <c r="I126" s="142"/>
      <c r="J126" s="142"/>
      <c r="K126" s="142"/>
      <c r="L126" s="142"/>
      <c r="M126" s="208"/>
      <c r="N126" s="208"/>
      <c r="O126" s="208"/>
      <c r="P126" s="208"/>
      <c r="Q126" s="208"/>
      <c r="R126" s="208"/>
      <c r="S126" s="208"/>
      <c r="T126" s="208"/>
      <c r="U126" s="208"/>
      <c r="V126" s="208"/>
      <c r="W126" s="208"/>
    </row>
    <row r="127" spans="1:23" ht="15" customHeight="1">
      <c r="A127" s="207"/>
      <c r="B127" s="207"/>
      <c r="C127" s="207"/>
      <c r="D127" s="207"/>
      <c r="E127" s="207"/>
      <c r="F127" s="142"/>
      <c r="G127" s="142"/>
      <c r="H127" s="142"/>
      <c r="I127" s="142"/>
      <c r="J127" s="142"/>
      <c r="K127" s="142"/>
      <c r="L127" s="142"/>
      <c r="M127" s="208"/>
      <c r="N127" s="208"/>
      <c r="O127" s="208"/>
      <c r="P127" s="208"/>
      <c r="Q127" s="208"/>
      <c r="R127" s="208"/>
      <c r="S127" s="208"/>
      <c r="T127" s="208"/>
      <c r="U127" s="208"/>
      <c r="V127" s="208"/>
      <c r="W127" s="208"/>
    </row>
    <row r="128" spans="1:23" ht="30" customHeight="1">
      <c r="A128" s="151" t="s">
        <v>156</v>
      </c>
      <c r="B128" s="153" t="s">
        <v>354</v>
      </c>
      <c r="C128" s="154" t="s">
        <v>366</v>
      </c>
      <c r="D128" s="153" t="s">
        <v>72</v>
      </c>
      <c r="E128" s="154" t="s">
        <v>73</v>
      </c>
      <c r="F128" s="153">
        <v>2013</v>
      </c>
      <c r="G128" s="152">
        <v>2014</v>
      </c>
      <c r="H128" s="152">
        <v>2015</v>
      </c>
      <c r="I128" s="152">
        <v>2016</v>
      </c>
      <c r="J128" s="152">
        <v>2017</v>
      </c>
      <c r="K128" s="152">
        <v>2018</v>
      </c>
      <c r="L128" s="152">
        <v>2019</v>
      </c>
      <c r="M128" s="152">
        <v>2020</v>
      </c>
      <c r="N128" s="152">
        <v>2021</v>
      </c>
      <c r="O128" s="152">
        <v>2022</v>
      </c>
      <c r="P128" s="154">
        <v>2023</v>
      </c>
      <c r="Q128" s="153">
        <v>2024</v>
      </c>
      <c r="R128" s="154">
        <v>2025</v>
      </c>
      <c r="S128" s="153">
        <v>2026</v>
      </c>
      <c r="T128" s="152">
        <v>2027</v>
      </c>
      <c r="U128" s="152">
        <v>2028</v>
      </c>
      <c r="V128" s="152">
        <v>2029</v>
      </c>
      <c r="W128" s="154">
        <v>2030</v>
      </c>
    </row>
    <row r="129" spans="1:27" ht="15" customHeight="1">
      <c r="A129" s="155" t="s">
        <v>158</v>
      </c>
      <c r="B129" s="209"/>
      <c r="C129" s="427">
        <v>0.15</v>
      </c>
      <c r="D129" s="428">
        <f>'Input - Hyp CAGR MetaMetaverse'!D28</f>
        <v>0.15</v>
      </c>
      <c r="E129" s="429">
        <f>'Input - Hyp CAGR MetaMetaverse'!I28</f>
        <v>0.14953740154425876</v>
      </c>
      <c r="F129" s="244">
        <v>342.72</v>
      </c>
      <c r="G129" s="245">
        <v>388.8</v>
      </c>
      <c r="H129" s="245">
        <v>506.48275862068965</v>
      </c>
      <c r="I129" s="245">
        <v>587.52</v>
      </c>
      <c r="J129" s="246">
        <v>702</v>
      </c>
      <c r="K129" s="168">
        <f>J129*1.15</f>
        <v>807.3</v>
      </c>
      <c r="L129" s="168">
        <f>K129*1.15</f>
        <v>928.3949999999999</v>
      </c>
      <c r="M129" s="160">
        <f t="shared" si="38"/>
        <v>1067.6542499999998</v>
      </c>
      <c r="N129" s="160">
        <f t="shared" si="38"/>
        <v>1227.8023874999997</v>
      </c>
      <c r="O129" s="171">
        <f t="shared" si="38"/>
        <v>1411.9727456249996</v>
      </c>
      <c r="P129" s="247">
        <f t="shared" si="38"/>
        <v>1623.7686574687493</v>
      </c>
      <c r="Q129" s="248">
        <f t="shared" si="39"/>
        <v>1867.3339560890615</v>
      </c>
      <c r="R129" s="247">
        <f aca="true" t="shared" si="42" ref="R129:R130">(1+$D129)*Q129</f>
        <v>2147.4340495024207</v>
      </c>
      <c r="S129" s="249">
        <f t="shared" si="40"/>
        <v>2468.5557572526777</v>
      </c>
      <c r="T129" s="193">
        <f aca="true" t="shared" si="43" ref="T129:W130">(1+$E129)*S129</f>
        <v>2837.697170759363</v>
      </c>
      <c r="U129" s="193">
        <f t="shared" si="43"/>
        <v>3262.039032044213</v>
      </c>
      <c r="V129" s="193">
        <f t="shared" si="43"/>
        <v>3749.8358726320535</v>
      </c>
      <c r="W129" s="250">
        <f t="shared" si="43"/>
        <v>4310.576585242899</v>
      </c>
      <c r="X129" s="142"/>
      <c r="Y129" s="142"/>
      <c r="Z129" s="208"/>
      <c r="AA129" s="142"/>
    </row>
    <row r="130" spans="1:27" ht="15" customHeight="1">
      <c r="A130" s="155" t="s">
        <v>161</v>
      </c>
      <c r="B130" s="209"/>
      <c r="C130" s="427">
        <v>0.31</v>
      </c>
      <c r="D130" s="423">
        <f>'Input - Hyp CAGR MetaMetaverse'!D29</f>
        <v>0.31</v>
      </c>
      <c r="E130" s="424">
        <f>'Input - Hyp CAGR MetaMetaverse'!I29</f>
        <v>0.2776964520310121</v>
      </c>
      <c r="F130" s="170">
        <v>250.92</v>
      </c>
      <c r="G130" s="168">
        <v>302.4</v>
      </c>
      <c r="H130" s="168">
        <v>403.2</v>
      </c>
      <c r="I130" s="168">
        <v>483.84</v>
      </c>
      <c r="J130" s="190">
        <v>629</v>
      </c>
      <c r="K130" s="168">
        <f>J130*1.31</f>
        <v>823.99</v>
      </c>
      <c r="L130" s="168">
        <f>K130*1.31</f>
        <v>1079.4269000000002</v>
      </c>
      <c r="M130" s="168">
        <f t="shared" si="38"/>
        <v>1414.0492390000002</v>
      </c>
      <c r="N130" s="160">
        <f t="shared" si="38"/>
        <v>1852.4045030900004</v>
      </c>
      <c r="O130" s="171">
        <f t="shared" si="38"/>
        <v>2426.649899047901</v>
      </c>
      <c r="P130" s="247">
        <f t="shared" si="38"/>
        <v>3178.9113677527503</v>
      </c>
      <c r="Q130" s="248">
        <f t="shared" si="39"/>
        <v>4164.373891756103</v>
      </c>
      <c r="R130" s="247">
        <f t="shared" si="42"/>
        <v>5455.329798200495</v>
      </c>
      <c r="S130" s="249">
        <f t="shared" si="40"/>
        <v>6970.25552781983</v>
      </c>
      <c r="T130" s="193">
        <f t="shared" si="43"/>
        <v>8905.870757644947</v>
      </c>
      <c r="U130" s="193">
        <f t="shared" si="43"/>
        <v>11378.99946928969</v>
      </c>
      <c r="V130" s="193">
        <f t="shared" si="43"/>
        <v>14538.907249574208</v>
      </c>
      <c r="W130" s="250">
        <f t="shared" si="43"/>
        <v>18576.310209188927</v>
      </c>
      <c r="X130" s="142"/>
      <c r="Y130" s="142"/>
      <c r="Z130" s="142"/>
      <c r="AA130" s="142"/>
    </row>
    <row r="131" spans="1:27" ht="15" customHeight="1">
      <c r="A131" s="155" t="s">
        <v>163</v>
      </c>
      <c r="B131" s="209"/>
      <c r="C131" s="427"/>
      <c r="D131" s="243"/>
      <c r="E131" s="216"/>
      <c r="F131" s="170">
        <f>SUM(F129:F130)</f>
        <v>593.64</v>
      </c>
      <c r="G131" s="168">
        <f>SUM(G129:G130)</f>
        <v>691.2</v>
      </c>
      <c r="H131" s="168">
        <f>SUM(H129:H130)</f>
        <v>909.6827586206896</v>
      </c>
      <c r="I131" s="168">
        <f>SUM(I129:I130)</f>
        <v>1071.36</v>
      </c>
      <c r="J131" s="168">
        <f>SUM(J129:J130)</f>
        <v>1331</v>
      </c>
      <c r="K131" s="168">
        <f aca="true" t="shared" si="44" ref="K131:P131">SUM(K129:K130)</f>
        <v>1631.29</v>
      </c>
      <c r="L131" s="168">
        <f t="shared" si="44"/>
        <v>2007.8219</v>
      </c>
      <c r="M131" s="160">
        <f t="shared" si="44"/>
        <v>2481.703489</v>
      </c>
      <c r="N131" s="160">
        <f t="shared" si="44"/>
        <v>3080.20689059</v>
      </c>
      <c r="O131" s="160">
        <f t="shared" si="44"/>
        <v>3838.6226446729006</v>
      </c>
      <c r="P131" s="161">
        <f t="shared" si="44"/>
        <v>4802.6800252215</v>
      </c>
      <c r="Q131" s="159">
        <f>SUM(Q129:Q130)</f>
        <v>6031.707847845165</v>
      </c>
      <c r="R131" s="161">
        <f>SUM(R129:R130)</f>
        <v>7602.763847702916</v>
      </c>
      <c r="S131" s="249">
        <f aca="true" t="shared" si="45" ref="S131:W131">SUM(S129:S130)</f>
        <v>9438.811285072508</v>
      </c>
      <c r="T131" s="193">
        <f t="shared" si="45"/>
        <v>11743.56792840431</v>
      </c>
      <c r="U131" s="193">
        <f t="shared" si="45"/>
        <v>14641.038501333904</v>
      </c>
      <c r="V131" s="193">
        <f t="shared" si="45"/>
        <v>18288.743122206262</v>
      </c>
      <c r="W131" s="250">
        <f t="shared" si="45"/>
        <v>22886.886794431826</v>
      </c>
      <c r="AA131" s="142"/>
    </row>
    <row r="132" spans="1:27" ht="15" customHeight="1">
      <c r="A132" s="155" t="s">
        <v>165</v>
      </c>
      <c r="B132" s="209">
        <v>0.66</v>
      </c>
      <c r="C132" s="427">
        <v>0.37</v>
      </c>
      <c r="D132" s="425">
        <f>'Input - Hyp CAGR MetaMetaverse'!D30</f>
        <v>0.37</v>
      </c>
      <c r="E132" s="426">
        <f>'Input - Hyp CAGR MetaMetaverse'!I30</f>
        <v>0.3072174941354546</v>
      </c>
      <c r="F132" s="170">
        <v>16</v>
      </c>
      <c r="G132" s="168">
        <v>28.799999999999955</v>
      </c>
      <c r="H132" s="168">
        <v>58.9041095890411</v>
      </c>
      <c r="I132" s="168">
        <v>86</v>
      </c>
      <c r="J132" s="168">
        <v>133</v>
      </c>
      <c r="K132" s="168">
        <f>19*12</f>
        <v>228</v>
      </c>
      <c r="L132" s="168">
        <f>29*12</f>
        <v>348</v>
      </c>
      <c r="M132" s="160">
        <f aca="true" t="shared" si="46" ref="M132:P132">(1+$C132)*L132</f>
        <v>476.76000000000005</v>
      </c>
      <c r="N132" s="160">
        <f t="shared" si="46"/>
        <v>653.1612000000001</v>
      </c>
      <c r="O132" s="160">
        <f t="shared" si="46"/>
        <v>894.8308440000002</v>
      </c>
      <c r="P132" s="161">
        <f t="shared" si="46"/>
        <v>1225.9182562800004</v>
      </c>
      <c r="Q132" s="159">
        <f>(1+$D132)*P132</f>
        <v>1679.5080111036007</v>
      </c>
      <c r="R132" s="161">
        <f>(1+$D132)*Q132</f>
        <v>2300.9259752119333</v>
      </c>
      <c r="S132" s="249">
        <f>(1+$E132)*R132</f>
        <v>3007.8106875077206</v>
      </c>
      <c r="T132" s="193">
        <f aca="true" t="shared" si="47" ref="T132:W132">(1+$E132)*S132</f>
        <v>3931.8627497576813</v>
      </c>
      <c r="U132" s="193">
        <f t="shared" si="47"/>
        <v>5139.799771022775</v>
      </c>
      <c r="V132" s="193">
        <f t="shared" si="47"/>
        <v>6718.8361770343745</v>
      </c>
      <c r="W132" s="250">
        <f t="shared" si="47"/>
        <v>8782.980190849512</v>
      </c>
      <c r="X132" s="142" t="s">
        <v>355</v>
      </c>
      <c r="Y132" s="238"/>
      <c r="Z132" s="142"/>
      <c r="AA132" s="142"/>
    </row>
    <row r="133" spans="1:23" ht="15" customHeight="1">
      <c r="A133" s="197" t="s">
        <v>166</v>
      </c>
      <c r="B133" s="229"/>
      <c r="C133" s="256"/>
      <c r="D133" s="431"/>
      <c r="E133" s="295"/>
      <c r="F133" s="205">
        <f aca="true" t="shared" si="48" ref="F133:W133">SUM(F131:F132)</f>
        <v>609.64</v>
      </c>
      <c r="G133" s="203">
        <f t="shared" si="48"/>
        <v>720</v>
      </c>
      <c r="H133" s="203">
        <f t="shared" si="48"/>
        <v>968.5868682097307</v>
      </c>
      <c r="I133" s="203">
        <f t="shared" si="48"/>
        <v>1157.36</v>
      </c>
      <c r="J133" s="203">
        <f t="shared" si="48"/>
        <v>1464</v>
      </c>
      <c r="K133" s="203">
        <f t="shared" si="48"/>
        <v>1859.29</v>
      </c>
      <c r="L133" s="203">
        <f t="shared" si="48"/>
        <v>2355.8219</v>
      </c>
      <c r="M133" s="202">
        <f t="shared" si="48"/>
        <v>2958.463489</v>
      </c>
      <c r="N133" s="202">
        <f t="shared" si="48"/>
        <v>3733.36809059</v>
      </c>
      <c r="O133" s="202">
        <f t="shared" si="48"/>
        <v>4733.453488672901</v>
      </c>
      <c r="P133" s="259">
        <f t="shared" si="48"/>
        <v>6028.5982815015</v>
      </c>
      <c r="Q133" s="201">
        <f t="shared" si="48"/>
        <v>7711.215858948765</v>
      </c>
      <c r="R133" s="259">
        <f t="shared" si="48"/>
        <v>9903.68982291485</v>
      </c>
      <c r="S133" s="260">
        <f t="shared" si="48"/>
        <v>12446.62197258023</v>
      </c>
      <c r="T133" s="261">
        <f t="shared" si="48"/>
        <v>15675.430678161993</v>
      </c>
      <c r="U133" s="261">
        <f t="shared" si="48"/>
        <v>19780.83827235668</v>
      </c>
      <c r="V133" s="261">
        <f t="shared" si="48"/>
        <v>25007.579299240635</v>
      </c>
      <c r="W133" s="262">
        <f t="shared" si="48"/>
        <v>31669.86698528134</v>
      </c>
    </row>
    <row r="134" spans="1:23" ht="15" customHeight="1">
      <c r="A134" s="155" t="s">
        <v>167</v>
      </c>
      <c r="B134" s="209"/>
      <c r="C134" s="227">
        <v>0.3</v>
      </c>
      <c r="D134" s="445">
        <f>'Input - Hyp CAGR MetaMetaverse'!I31</f>
        <v>0.30000000000000004</v>
      </c>
      <c r="E134" s="446">
        <f>'Input - Hyp CAGR MetaMetaverse'!I31</f>
        <v>0.30000000000000004</v>
      </c>
      <c r="F134" s="170">
        <f aca="true" t="shared" si="49" ref="F134:L135">F200</f>
        <v>698.0325120000001</v>
      </c>
      <c r="G134" s="168">
        <f aca="true" t="shared" si="50" ref="G134:L134">G200</f>
        <v>1008.032</v>
      </c>
      <c r="H134" s="168">
        <f t="shared" si="50"/>
        <v>1598.0000000000002</v>
      </c>
      <c r="I134" s="168">
        <f t="shared" si="50"/>
        <v>2652</v>
      </c>
      <c r="J134" s="168">
        <f t="shared" si="50"/>
        <v>3800.9790000000003</v>
      </c>
      <c r="K134" s="168">
        <f t="shared" si="50"/>
        <v>5189.213484</v>
      </c>
      <c r="L134" s="168">
        <f t="shared" si="50"/>
        <v>6755.416529588999</v>
      </c>
      <c r="M134" s="160">
        <f aca="true" t="shared" si="51" ref="M134:P135">(1+$C134)*L134</f>
        <v>8782.041488465698</v>
      </c>
      <c r="N134" s="160">
        <f t="shared" si="51"/>
        <v>11416.653935005408</v>
      </c>
      <c r="O134" s="263">
        <f t="shared" si="51"/>
        <v>14841.650115507031</v>
      </c>
      <c r="P134" s="264">
        <f t="shared" si="51"/>
        <v>19294.14515015914</v>
      </c>
      <c r="Q134" s="265">
        <f aca="true" t="shared" si="52" ref="Q134:Q135">(1+$D134)*P134</f>
        <v>25082.388695206882</v>
      </c>
      <c r="R134" s="264">
        <f aca="true" t="shared" si="53" ref="R134:R135">(1+$D134)*Q134</f>
        <v>32607.10530376895</v>
      </c>
      <c r="S134" s="249">
        <f aca="true" t="shared" si="54" ref="S134:S135">(1+$E134)*R134</f>
        <v>42389.23689489964</v>
      </c>
      <c r="T134" s="193">
        <f aca="true" t="shared" si="55" ref="T134:W135">(1+$E134)*S134</f>
        <v>55106.00796336953</v>
      </c>
      <c r="U134" s="193">
        <f t="shared" si="55"/>
        <v>71637.81035238039</v>
      </c>
      <c r="V134" s="193">
        <f t="shared" si="55"/>
        <v>93129.1534580945</v>
      </c>
      <c r="W134" s="250">
        <f t="shared" si="55"/>
        <v>121067.89949552286</v>
      </c>
    </row>
    <row r="135" spans="1:23" ht="15" customHeight="1">
      <c r="A135" s="155" t="s">
        <v>168</v>
      </c>
      <c r="B135" s="209"/>
      <c r="C135" s="227">
        <v>0.13</v>
      </c>
      <c r="D135" s="445">
        <f>'Input - Hyp CAGR MetaMetaverse'!I32</f>
        <v>0.1299999999999999</v>
      </c>
      <c r="E135" s="446">
        <f>'Input - Hyp CAGR MetaMetaverse'!I32</f>
        <v>0.1299999999999999</v>
      </c>
      <c r="F135" s="170">
        <f t="shared" si="49"/>
        <v>2001.9674879999998</v>
      </c>
      <c r="G135" s="168">
        <f t="shared" si="49"/>
        <v>2391.968</v>
      </c>
      <c r="H135" s="168">
        <f t="shared" si="49"/>
        <v>3102</v>
      </c>
      <c r="I135" s="168">
        <f t="shared" si="49"/>
        <v>4148</v>
      </c>
      <c r="J135" s="168">
        <f t="shared" si="49"/>
        <v>5299.021</v>
      </c>
      <c r="K135" s="168">
        <f t="shared" si="49"/>
        <v>6410.786516</v>
      </c>
      <c r="L135" s="168">
        <f t="shared" si="49"/>
        <v>7344.583470411001</v>
      </c>
      <c r="M135" s="160">
        <f t="shared" si="51"/>
        <v>8299.379321564431</v>
      </c>
      <c r="N135" s="160">
        <f t="shared" si="51"/>
        <v>9378.298633367805</v>
      </c>
      <c r="O135" s="263">
        <f t="shared" si="51"/>
        <v>10597.477455705619</v>
      </c>
      <c r="P135" s="264">
        <f t="shared" si="51"/>
        <v>11975.149524947348</v>
      </c>
      <c r="Q135" s="265">
        <f t="shared" si="52"/>
        <v>13531.918963190503</v>
      </c>
      <c r="R135" s="264">
        <f t="shared" si="53"/>
        <v>15291.068428405266</v>
      </c>
      <c r="S135" s="249">
        <f t="shared" si="54"/>
        <v>17278.90732409795</v>
      </c>
      <c r="T135" s="193">
        <f t="shared" si="55"/>
        <v>19525.16527623068</v>
      </c>
      <c r="U135" s="193">
        <f t="shared" si="55"/>
        <v>22063.436762140667</v>
      </c>
      <c r="V135" s="193">
        <f t="shared" si="55"/>
        <v>24931.68354121895</v>
      </c>
      <c r="W135" s="250">
        <f t="shared" si="55"/>
        <v>28172.80240157741</v>
      </c>
    </row>
    <row r="136" spans="1:27" ht="15" customHeight="1">
      <c r="A136" s="197" t="s">
        <v>169</v>
      </c>
      <c r="B136" s="229"/>
      <c r="C136" s="256"/>
      <c r="D136" s="257"/>
      <c r="E136" s="258"/>
      <c r="F136" s="205">
        <f aca="true" t="shared" si="56" ref="F136:W136">SUM(F134:F135)</f>
        <v>2700</v>
      </c>
      <c r="G136" s="203">
        <f t="shared" si="56"/>
        <v>3400</v>
      </c>
      <c r="H136" s="203">
        <f t="shared" si="56"/>
        <v>4700</v>
      </c>
      <c r="I136" s="203">
        <f t="shared" si="56"/>
        <v>6800</v>
      </c>
      <c r="J136" s="204">
        <f t="shared" si="56"/>
        <v>9100</v>
      </c>
      <c r="K136" s="203">
        <f t="shared" si="56"/>
        <v>11600</v>
      </c>
      <c r="L136" s="203">
        <f t="shared" si="56"/>
        <v>14100</v>
      </c>
      <c r="M136" s="202">
        <f t="shared" si="56"/>
        <v>17081.42081003013</v>
      </c>
      <c r="N136" s="202">
        <f t="shared" si="56"/>
        <v>20794.952568373214</v>
      </c>
      <c r="O136" s="202">
        <f t="shared" si="56"/>
        <v>25439.12757121265</v>
      </c>
      <c r="P136" s="266">
        <f t="shared" si="56"/>
        <v>31269.29467510649</v>
      </c>
      <c r="Q136" s="267">
        <f t="shared" si="56"/>
        <v>38614.30765839739</v>
      </c>
      <c r="R136" s="266">
        <f t="shared" si="56"/>
        <v>47898.17373217421</v>
      </c>
      <c r="S136" s="260">
        <f t="shared" si="56"/>
        <v>59668.144218997586</v>
      </c>
      <c r="T136" s="261">
        <f t="shared" si="56"/>
        <v>74631.1732396002</v>
      </c>
      <c r="U136" s="261">
        <f t="shared" si="56"/>
        <v>93701.24711452106</v>
      </c>
      <c r="V136" s="261">
        <f t="shared" si="56"/>
        <v>118060.83699931345</v>
      </c>
      <c r="W136" s="262">
        <f t="shared" si="56"/>
        <v>149240.70189710025</v>
      </c>
      <c r="X136" s="326"/>
      <c r="Y136" s="326"/>
      <c r="Z136" s="326"/>
      <c r="AA136" s="142"/>
    </row>
    <row r="137" spans="1:5" ht="15" customHeight="1">
      <c r="A137" s="223"/>
      <c r="B137" s="223"/>
      <c r="C137" s="223"/>
      <c r="D137" s="223"/>
      <c r="E137" s="223"/>
    </row>
    <row r="138" spans="1:5" ht="15" customHeight="1">
      <c r="A138" s="223"/>
      <c r="B138" s="223"/>
      <c r="C138" s="223"/>
      <c r="D138" s="223"/>
      <c r="E138" s="223"/>
    </row>
    <row r="139" spans="1:23" ht="30" customHeight="1">
      <c r="A139" s="268" t="s">
        <v>170</v>
      </c>
      <c r="B139" s="269" t="s">
        <v>354</v>
      </c>
      <c r="C139" s="270" t="s">
        <v>366</v>
      </c>
      <c r="D139" s="269" t="s">
        <v>72</v>
      </c>
      <c r="E139" s="270" t="s">
        <v>73</v>
      </c>
      <c r="F139" s="269">
        <v>2013</v>
      </c>
      <c r="G139" s="271">
        <v>2014</v>
      </c>
      <c r="H139" s="271">
        <v>2015</v>
      </c>
      <c r="I139" s="271">
        <v>2016</v>
      </c>
      <c r="J139" s="271">
        <v>2017</v>
      </c>
      <c r="K139" s="271">
        <v>2018</v>
      </c>
      <c r="L139" s="271">
        <v>2019</v>
      </c>
      <c r="M139" s="271">
        <v>2020</v>
      </c>
      <c r="N139" s="271">
        <v>2021</v>
      </c>
      <c r="O139" s="271">
        <v>2022</v>
      </c>
      <c r="P139" s="270">
        <v>2023</v>
      </c>
      <c r="Q139" s="269">
        <v>2024</v>
      </c>
      <c r="R139" s="270">
        <v>2025</v>
      </c>
      <c r="S139" s="269">
        <v>2026</v>
      </c>
      <c r="T139" s="271">
        <v>2027</v>
      </c>
      <c r="U139" s="271">
        <v>2028</v>
      </c>
      <c r="V139" s="271">
        <v>2029</v>
      </c>
      <c r="W139" s="270">
        <v>2030</v>
      </c>
    </row>
    <row r="140" spans="1:27" ht="15" customHeight="1">
      <c r="A140" s="272" t="s">
        <v>158</v>
      </c>
      <c r="B140" s="273">
        <v>-0.25</v>
      </c>
      <c r="C140" s="274">
        <v>-0.22</v>
      </c>
      <c r="D140" s="273">
        <f aca="true" t="shared" si="57" ref="D140:D144">C140</f>
        <v>-0.22</v>
      </c>
      <c r="E140" s="447">
        <f>'Update Scenarios'!D18</f>
        <v>-0.16</v>
      </c>
      <c r="F140" s="276">
        <f aca="true" t="shared" si="58" ref="F140:K144">G140/(1+$B140)</f>
        <v>0.39330589849108377</v>
      </c>
      <c r="G140" s="277">
        <f t="shared" si="58"/>
        <v>0.29497942386831283</v>
      </c>
      <c r="H140" s="277">
        <f t="shared" si="58"/>
        <v>0.2212345679012346</v>
      </c>
      <c r="I140" s="277">
        <f t="shared" si="58"/>
        <v>0.16592592592592595</v>
      </c>
      <c r="J140" s="277">
        <f t="shared" si="58"/>
        <v>0.12444444444444445</v>
      </c>
      <c r="K140" s="277">
        <f t="shared" si="58"/>
        <v>0.09333333333333334</v>
      </c>
      <c r="L140" s="278">
        <v>0.07</v>
      </c>
      <c r="M140" s="277">
        <f aca="true" t="shared" si="59" ref="M140:P144">(1+$C140)*L140</f>
        <v>0.05460000000000001</v>
      </c>
      <c r="N140" s="277">
        <f t="shared" si="59"/>
        <v>0.04258800000000001</v>
      </c>
      <c r="O140" s="277">
        <f t="shared" si="59"/>
        <v>0.03321864000000001</v>
      </c>
      <c r="P140" s="279">
        <f t="shared" si="59"/>
        <v>0.025910539200000006</v>
      </c>
      <c r="Q140" s="276">
        <f aca="true" t="shared" si="60" ref="Q140:R144">(1+$D140)*P140</f>
        <v>0.020210220576000006</v>
      </c>
      <c r="R140" s="279">
        <f>(1+$D140)*Q140</f>
        <v>0.015763972049280005</v>
      </c>
      <c r="S140" s="280">
        <f aca="true" t="shared" si="61" ref="S140:W144">(1+$E140)*R140</f>
        <v>0.013241736521395204</v>
      </c>
      <c r="T140" s="281">
        <f aca="true" t="shared" si="62" ref="T140:W140">(1+$E140)*S140</f>
        <v>0.01112305867797197</v>
      </c>
      <c r="U140" s="281">
        <f t="shared" si="62"/>
        <v>0.009343369289496455</v>
      </c>
      <c r="V140" s="281">
        <f t="shared" si="62"/>
        <v>0.007848430203177022</v>
      </c>
      <c r="W140" s="282">
        <f t="shared" si="62"/>
        <v>0.006592681370668698</v>
      </c>
      <c r="X140" s="418"/>
      <c r="Y140" s="321"/>
      <c r="Z140" s="321"/>
      <c r="AA140" s="321"/>
    </row>
    <row r="141" spans="1:27" ht="15" customHeight="1">
      <c r="A141" s="155" t="s">
        <v>161</v>
      </c>
      <c r="B141" s="209">
        <v>-0.25</v>
      </c>
      <c r="C141" s="210">
        <v>-0.22</v>
      </c>
      <c r="D141" s="209">
        <f t="shared" si="57"/>
        <v>-0.22</v>
      </c>
      <c r="E141" s="448">
        <f>'Update Scenarios'!D19</f>
        <v>-0.16</v>
      </c>
      <c r="F141" s="165">
        <f t="shared" si="58"/>
        <v>0.39330589849108377</v>
      </c>
      <c r="G141" s="166">
        <f t="shared" si="58"/>
        <v>0.29497942386831283</v>
      </c>
      <c r="H141" s="166">
        <f t="shared" si="58"/>
        <v>0.2212345679012346</v>
      </c>
      <c r="I141" s="166">
        <f t="shared" si="58"/>
        <v>0.16592592592592595</v>
      </c>
      <c r="J141" s="166">
        <f t="shared" si="58"/>
        <v>0.12444444444444445</v>
      </c>
      <c r="K141" s="166">
        <f t="shared" si="58"/>
        <v>0.09333333333333334</v>
      </c>
      <c r="L141" s="283">
        <v>0.07</v>
      </c>
      <c r="M141" s="166">
        <f t="shared" si="59"/>
        <v>0.05460000000000001</v>
      </c>
      <c r="N141" s="166">
        <f t="shared" si="59"/>
        <v>0.04258800000000001</v>
      </c>
      <c r="O141" s="166">
        <f t="shared" si="59"/>
        <v>0.03321864000000001</v>
      </c>
      <c r="P141" s="167">
        <f t="shared" si="59"/>
        <v>0.025910539200000006</v>
      </c>
      <c r="Q141" s="165">
        <f t="shared" si="60"/>
        <v>0.020210220576000006</v>
      </c>
      <c r="R141" s="167">
        <f t="shared" si="60"/>
        <v>0.015763972049280005</v>
      </c>
      <c r="S141" s="172">
        <f t="shared" si="61"/>
        <v>0.013241736521395204</v>
      </c>
      <c r="T141" s="173">
        <f t="shared" si="61"/>
        <v>0.01112305867797197</v>
      </c>
      <c r="U141" s="173">
        <f t="shared" si="61"/>
        <v>0.009343369289496455</v>
      </c>
      <c r="V141" s="173">
        <f t="shared" si="61"/>
        <v>0.007848430203177022</v>
      </c>
      <c r="W141" s="284">
        <f t="shared" si="61"/>
        <v>0.006592681370668698</v>
      </c>
      <c r="X141" s="321"/>
      <c r="Y141" s="321"/>
      <c r="Z141" s="321"/>
      <c r="AA141" s="321"/>
    </row>
    <row r="142" spans="1:27" ht="15" customHeight="1">
      <c r="A142" s="178" t="s">
        <v>165</v>
      </c>
      <c r="B142" s="217">
        <v>-0.2</v>
      </c>
      <c r="C142" s="218">
        <v>-0.2</v>
      </c>
      <c r="D142" s="217">
        <f t="shared" si="57"/>
        <v>-0.2</v>
      </c>
      <c r="E142" s="449">
        <f>'Update Scenarios'!D20</f>
        <v>-0.15</v>
      </c>
      <c r="F142" s="286">
        <f t="shared" si="58"/>
        <v>2.2888183593749987</v>
      </c>
      <c r="G142" s="287">
        <f t="shared" si="58"/>
        <v>1.8310546874999991</v>
      </c>
      <c r="H142" s="287">
        <f t="shared" si="58"/>
        <v>1.4648437499999993</v>
      </c>
      <c r="I142" s="287">
        <f t="shared" si="58"/>
        <v>1.1718749999999996</v>
      </c>
      <c r="J142" s="287">
        <f t="shared" si="58"/>
        <v>0.9374999999999998</v>
      </c>
      <c r="K142" s="287">
        <f t="shared" si="58"/>
        <v>0.7499999999999999</v>
      </c>
      <c r="L142" s="288">
        <v>0.6</v>
      </c>
      <c r="M142" s="287">
        <f t="shared" si="59"/>
        <v>0.48</v>
      </c>
      <c r="N142" s="287">
        <f t="shared" si="59"/>
        <v>0.384</v>
      </c>
      <c r="O142" s="287">
        <f t="shared" si="59"/>
        <v>0.30720000000000003</v>
      </c>
      <c r="P142" s="289">
        <f t="shared" si="59"/>
        <v>0.24576000000000003</v>
      </c>
      <c r="Q142" s="286">
        <f t="shared" si="60"/>
        <v>0.19660800000000003</v>
      </c>
      <c r="R142" s="289">
        <f t="shared" si="60"/>
        <v>0.15728640000000005</v>
      </c>
      <c r="S142" s="181">
        <f t="shared" si="61"/>
        <v>0.13369344000000002</v>
      </c>
      <c r="T142" s="182">
        <f t="shared" si="61"/>
        <v>0.11363942400000002</v>
      </c>
      <c r="U142" s="182">
        <f t="shared" si="61"/>
        <v>0.09659351040000001</v>
      </c>
      <c r="V142" s="182">
        <f t="shared" si="61"/>
        <v>0.08210448384</v>
      </c>
      <c r="W142" s="290">
        <f t="shared" si="61"/>
        <v>0.06978881126400001</v>
      </c>
      <c r="X142" s="321"/>
      <c r="Y142" s="321"/>
      <c r="Z142" s="321"/>
      <c r="AA142" s="321"/>
    </row>
    <row r="143" spans="1:27" ht="15" customHeight="1">
      <c r="A143" s="155" t="s">
        <v>167</v>
      </c>
      <c r="B143" s="209">
        <v>-0.13</v>
      </c>
      <c r="C143" s="210">
        <v>-0.11</v>
      </c>
      <c r="D143" s="209">
        <f t="shared" si="57"/>
        <v>-0.11</v>
      </c>
      <c r="E143" s="216">
        <f aca="true" t="shared" si="63" ref="E143:E144">D143</f>
        <v>-0.11</v>
      </c>
      <c r="F143" s="291">
        <f t="shared" si="58"/>
        <v>0.023983790591528734</v>
      </c>
      <c r="G143" s="292">
        <f t="shared" si="58"/>
        <v>0.020865897814629997</v>
      </c>
      <c r="H143" s="292">
        <f t="shared" si="58"/>
        <v>0.018153331098728097</v>
      </c>
      <c r="I143" s="292">
        <f t="shared" si="58"/>
        <v>0.015793398055893443</v>
      </c>
      <c r="J143" s="292">
        <f t="shared" si="58"/>
        <v>0.013740256308627295</v>
      </c>
      <c r="K143" s="292">
        <f t="shared" si="58"/>
        <v>0.011954022988505746</v>
      </c>
      <c r="L143" s="293">
        <v>0.0104</v>
      </c>
      <c r="M143" s="292">
        <f t="shared" si="59"/>
        <v>0.009256</v>
      </c>
      <c r="N143" s="292">
        <f t="shared" si="59"/>
        <v>0.00823784</v>
      </c>
      <c r="O143" s="292">
        <f t="shared" si="59"/>
        <v>0.0073316776</v>
      </c>
      <c r="P143" s="294">
        <f t="shared" si="59"/>
        <v>0.006525193064</v>
      </c>
      <c r="Q143" s="165">
        <f t="shared" si="60"/>
        <v>0.00580742182696</v>
      </c>
      <c r="R143" s="167">
        <f t="shared" si="60"/>
        <v>0.0051686054259944</v>
      </c>
      <c r="S143" s="172">
        <f t="shared" si="61"/>
        <v>0.0046000588291350165</v>
      </c>
      <c r="T143" s="173">
        <f t="shared" si="61"/>
        <v>0.004094052357930165</v>
      </c>
      <c r="U143" s="173">
        <f t="shared" si="61"/>
        <v>0.0036437065985578465</v>
      </c>
      <c r="V143" s="173">
        <f t="shared" si="61"/>
        <v>0.0032428988727164834</v>
      </c>
      <c r="W143" s="284">
        <f t="shared" si="61"/>
        <v>0.00288617999671767</v>
      </c>
      <c r="X143" s="142"/>
      <c r="Y143" s="321"/>
      <c r="Z143" s="321"/>
      <c r="AA143" s="321"/>
    </row>
    <row r="144" spans="1:27" ht="15" customHeight="1">
      <c r="A144" s="178" t="s">
        <v>171</v>
      </c>
      <c r="B144" s="217">
        <v>-0.12</v>
      </c>
      <c r="C144" s="218">
        <v>-0.1</v>
      </c>
      <c r="D144" s="217">
        <f t="shared" si="57"/>
        <v>-0.1</v>
      </c>
      <c r="E144" s="295">
        <f t="shared" si="63"/>
        <v>-0.1</v>
      </c>
      <c r="F144" s="296">
        <f t="shared" si="58"/>
        <v>0.10271227441240383</v>
      </c>
      <c r="G144" s="297">
        <f t="shared" si="58"/>
        <v>0.09038680148291536</v>
      </c>
      <c r="H144" s="297">
        <f t="shared" si="58"/>
        <v>0.07954038530496552</v>
      </c>
      <c r="I144" s="297">
        <f t="shared" si="58"/>
        <v>0.06999553906836965</v>
      </c>
      <c r="J144" s="297">
        <f t="shared" si="58"/>
        <v>0.06159607438016529</v>
      </c>
      <c r="K144" s="297">
        <f t="shared" si="58"/>
        <v>0.05420454545454546</v>
      </c>
      <c r="L144" s="298">
        <v>0.0477</v>
      </c>
      <c r="M144" s="297">
        <f t="shared" si="59"/>
        <v>0.04293</v>
      </c>
      <c r="N144" s="297">
        <f t="shared" si="59"/>
        <v>0.038637000000000005</v>
      </c>
      <c r="O144" s="297">
        <f t="shared" si="59"/>
        <v>0.03477330000000001</v>
      </c>
      <c r="P144" s="299">
        <f t="shared" si="59"/>
        <v>0.031295970000000006</v>
      </c>
      <c r="Q144" s="286">
        <f t="shared" si="60"/>
        <v>0.028166373000000005</v>
      </c>
      <c r="R144" s="289">
        <f t="shared" si="60"/>
        <v>0.025349735700000004</v>
      </c>
      <c r="S144" s="181">
        <f t="shared" si="61"/>
        <v>0.022814762130000003</v>
      </c>
      <c r="T144" s="182">
        <f t="shared" si="61"/>
        <v>0.020533285917000002</v>
      </c>
      <c r="U144" s="182">
        <f t="shared" si="61"/>
        <v>0.018479957325300004</v>
      </c>
      <c r="V144" s="182">
        <f t="shared" si="61"/>
        <v>0.016631961592770004</v>
      </c>
      <c r="W144" s="290">
        <f t="shared" si="61"/>
        <v>0.014968765433493004</v>
      </c>
      <c r="X144" s="142"/>
      <c r="Y144" s="321"/>
      <c r="Z144" s="321"/>
      <c r="AA144" s="321"/>
    </row>
    <row r="145" ht="15" customHeight="1"/>
    <row r="146" ht="14"/>
    <row r="147" spans="1:14" ht="73">
      <c r="A147" s="300" t="s">
        <v>172</v>
      </c>
      <c r="B147" s="300"/>
      <c r="C147" s="300"/>
      <c r="D147" s="300"/>
      <c r="E147" s="300"/>
      <c r="F147" s="301" t="s">
        <v>173</v>
      </c>
      <c r="G147" s="302" t="s">
        <v>174</v>
      </c>
      <c r="H147" s="303" t="s">
        <v>175</v>
      </c>
      <c r="I147" s="303" t="s">
        <v>176</v>
      </c>
      <c r="J147" s="303" t="s">
        <v>177</v>
      </c>
      <c r="K147" s="304" t="s">
        <v>178</v>
      </c>
      <c r="L147" s="304" t="s">
        <v>179</v>
      </c>
      <c r="M147" s="304" t="s">
        <v>180</v>
      </c>
      <c r="N147" s="305" t="s">
        <v>181</v>
      </c>
    </row>
    <row r="148" spans="6:14" ht="14.5">
      <c r="F148" s="306" t="s">
        <v>183</v>
      </c>
      <c r="G148" s="307">
        <f>47/9</f>
        <v>5.222222222222222</v>
      </c>
      <c r="H148" s="308">
        <f>37/9</f>
        <v>4.111111111111111</v>
      </c>
      <c r="I148" s="308">
        <v>5.222222222222222</v>
      </c>
      <c r="J148" s="308">
        <f>47/9</f>
        <v>5.222222222222222</v>
      </c>
      <c r="K148" s="309">
        <f>10*0.9*0.9*0.9*0.9</f>
        <v>6.561</v>
      </c>
      <c r="L148" s="310">
        <v>4.6</v>
      </c>
      <c r="M148" s="310"/>
      <c r="N148" s="311"/>
    </row>
    <row r="149" spans="6:14" ht="14.5">
      <c r="F149" s="306" t="s">
        <v>185</v>
      </c>
      <c r="G149" s="307">
        <f>14/35</f>
        <v>0.4</v>
      </c>
      <c r="H149" s="308">
        <f>11/35</f>
        <v>0.3142857142857143</v>
      </c>
      <c r="I149" s="308">
        <v>0.4</v>
      </c>
      <c r="J149" s="308">
        <f>14/35</f>
        <v>0.4</v>
      </c>
      <c r="K149" s="309">
        <f>1*0.85*0.85*0.85*0.85</f>
        <v>0.5220062499999999</v>
      </c>
      <c r="L149" s="310">
        <v>2.139</v>
      </c>
      <c r="M149" s="310"/>
      <c r="N149" s="311"/>
    </row>
    <row r="150" spans="6:14" ht="14.5">
      <c r="F150" s="306" t="s">
        <v>187</v>
      </c>
      <c r="G150" s="307">
        <f>24/290</f>
        <v>0.08275862068965517</v>
      </c>
      <c r="H150" s="308">
        <f>19/290</f>
        <v>0.06551724137931035</v>
      </c>
      <c r="I150" s="308">
        <v>0.08275862068965517</v>
      </c>
      <c r="J150" s="308">
        <f>24/290</f>
        <v>0.08275862068965517</v>
      </c>
      <c r="K150" s="309">
        <f>0.5*0.8*0.8*0.8*0.8</f>
        <v>0.20480000000000007</v>
      </c>
      <c r="L150" s="310">
        <v>0.089</v>
      </c>
      <c r="M150" s="310"/>
      <c r="N150" s="311"/>
    </row>
    <row r="151" spans="6:14" ht="14.5">
      <c r="F151" s="306" t="s">
        <v>188</v>
      </c>
      <c r="G151" s="312">
        <v>0.06</v>
      </c>
      <c r="H151" s="313">
        <v>0.06</v>
      </c>
      <c r="I151" s="313">
        <v>0.12</v>
      </c>
      <c r="J151" s="308">
        <f>2/46</f>
        <v>0.043478260869565216</v>
      </c>
      <c r="K151" s="309"/>
      <c r="L151" s="310"/>
      <c r="M151" s="310"/>
      <c r="N151" s="311"/>
    </row>
    <row r="152" spans="6:14" ht="14.5">
      <c r="F152" s="306" t="s">
        <v>190</v>
      </c>
      <c r="G152" s="307">
        <v>0.2</v>
      </c>
      <c r="H152" s="308">
        <v>0.094</v>
      </c>
      <c r="I152" s="308">
        <f>G152*172/392</f>
        <v>0.08775510204081632</v>
      </c>
      <c r="J152" s="308">
        <v>0.088</v>
      </c>
      <c r="K152" s="309">
        <f>0.2*0.25</f>
        <v>0.05</v>
      </c>
      <c r="L152" s="310">
        <v>0.033</v>
      </c>
      <c r="M152" s="310"/>
      <c r="N152" s="311"/>
    </row>
    <row r="153" spans="6:14" ht="14.5">
      <c r="F153" s="306" t="s">
        <v>191</v>
      </c>
      <c r="G153" s="307">
        <v>0.123</v>
      </c>
      <c r="H153" s="308">
        <v>0.056</v>
      </c>
      <c r="I153" s="308">
        <f>G153*69/158</f>
        <v>0.053715189873417724</v>
      </c>
      <c r="J153" s="308">
        <v>0.054</v>
      </c>
      <c r="K153" s="314">
        <f>K152</f>
        <v>0.05</v>
      </c>
      <c r="L153" s="310">
        <v>0.033</v>
      </c>
      <c r="M153" s="310"/>
      <c r="N153" s="311"/>
    </row>
    <row r="154" spans="6:14" ht="15">
      <c r="F154" s="315" t="s">
        <v>192</v>
      </c>
      <c r="G154" s="316">
        <v>22</v>
      </c>
      <c r="H154" s="317">
        <v>22</v>
      </c>
      <c r="I154" s="317">
        <v>22</v>
      </c>
      <c r="J154" s="317">
        <v>22</v>
      </c>
      <c r="K154" s="318"/>
      <c r="L154" s="319"/>
      <c r="M154" s="319"/>
      <c r="N154" s="311"/>
    </row>
    <row r="155" ht="15">
      <c r="N155" s="311"/>
    </row>
    <row r="156" spans="1:24" ht="27">
      <c r="A156" s="320" t="s">
        <v>193</v>
      </c>
      <c r="B156" s="320"/>
      <c r="C156" s="320"/>
      <c r="D156" s="320"/>
      <c r="E156" s="320"/>
      <c r="F156" s="143" t="s">
        <v>194</v>
      </c>
      <c r="G156" s="321">
        <f>G168/$X$156</f>
        <v>0.22988505747126436</v>
      </c>
      <c r="H156" s="321">
        <f>H168/$X$156</f>
        <v>0.22988505747126436</v>
      </c>
      <c r="I156" s="321">
        <f>I168/$X$156</f>
        <v>0.3649425287356322</v>
      </c>
      <c r="J156" s="321">
        <f>J168/$X$156</f>
        <v>0.29310344827586204</v>
      </c>
      <c r="K156" s="321">
        <f>K168/$X$156</f>
        <v>0.43103448275862066</v>
      </c>
      <c r="L156" s="322">
        <f>2.06/5.7</f>
        <v>0.36140350877192984</v>
      </c>
      <c r="M156" s="321"/>
      <c r="N156" s="311">
        <v>0.6</v>
      </c>
      <c r="O156" s="142" t="s">
        <v>195</v>
      </c>
      <c r="X156" s="142">
        <f>29*12</f>
        <v>348</v>
      </c>
    </row>
    <row r="157" spans="1:24" ht="15">
      <c r="A157" s="320" t="s">
        <v>196</v>
      </c>
      <c r="B157" s="320"/>
      <c r="C157" s="320"/>
      <c r="D157" s="320"/>
      <c r="E157" s="320"/>
      <c r="F157" s="143" t="s">
        <v>197</v>
      </c>
      <c r="G157" s="321">
        <f>G169/$X$158</f>
        <v>0.21511627906976744</v>
      </c>
      <c r="H157" s="321">
        <f>H169/$X$158</f>
        <v>0.12403100775193798</v>
      </c>
      <c r="I157" s="321">
        <f>I169/$X$158</f>
        <v>0.11676356589147287</v>
      </c>
      <c r="J157" s="321">
        <f>J169/$X$158</f>
        <v>0.0998062015503876</v>
      </c>
      <c r="K157" s="321">
        <f>K169/$X$158</f>
        <v>0.0436046511627907</v>
      </c>
      <c r="L157" s="322">
        <f>1.44/43.5</f>
        <v>0.03310344827586207</v>
      </c>
      <c r="M157" s="321"/>
      <c r="N157" s="311">
        <v>0.07</v>
      </c>
      <c r="O157" s="142" t="s">
        <v>198</v>
      </c>
      <c r="X157" s="142">
        <f>201*12</f>
        <v>2412</v>
      </c>
    </row>
    <row r="158" spans="6:24" ht="15">
      <c r="F158" s="143" t="s">
        <v>199</v>
      </c>
      <c r="G158" s="321">
        <f>G170/$X$157</f>
        <v>0.21724709784411278</v>
      </c>
      <c r="H158" s="321">
        <f>H170/$X$157</f>
        <v>0.13930348258706468</v>
      </c>
      <c r="I158" s="321">
        <f>I170/$X$157</f>
        <v>0.15257048092868988</v>
      </c>
      <c r="J158" s="321">
        <f>J170/$X$157</f>
        <v>0.12769485903814262</v>
      </c>
      <c r="K158" s="321">
        <f>K170/$X$157</f>
        <v>0.09950248756218906</v>
      </c>
      <c r="L158" s="322">
        <f>3.5/49.2</f>
        <v>0.07113821138211382</v>
      </c>
      <c r="M158" s="321">
        <f>492/$X$157</f>
        <v>0.20398009950248755</v>
      </c>
      <c r="N158" s="311"/>
      <c r="O158" s="142" t="s">
        <v>200</v>
      </c>
      <c r="X158" s="142">
        <f>X157-X156</f>
        <v>2064</v>
      </c>
    </row>
    <row r="159" spans="1:15" ht="27">
      <c r="A159" s="320" t="s">
        <v>201</v>
      </c>
      <c r="B159" s="320"/>
      <c r="C159" s="320"/>
      <c r="D159" s="320"/>
      <c r="E159" s="320"/>
      <c r="F159" s="143" t="s">
        <v>202</v>
      </c>
      <c r="G159" s="142"/>
      <c r="H159" s="142"/>
      <c r="I159" s="142"/>
      <c r="J159" s="142"/>
      <c r="K159" s="323" t="s">
        <v>203</v>
      </c>
      <c r="L159" s="324">
        <v>0.3</v>
      </c>
      <c r="N159" s="311">
        <v>20</v>
      </c>
      <c r="O159" s="251"/>
    </row>
    <row r="160" spans="1:16" ht="14">
      <c r="A160" s="320"/>
      <c r="B160" s="320"/>
      <c r="C160" s="320"/>
      <c r="D160" s="320"/>
      <c r="E160" s="320"/>
      <c r="F160" s="143" t="s">
        <v>204</v>
      </c>
      <c r="G160" s="142"/>
      <c r="H160" s="142"/>
      <c r="I160" s="142">
        <v>20</v>
      </c>
      <c r="J160" s="142">
        <v>20</v>
      </c>
      <c r="K160" s="251">
        <v>0.25</v>
      </c>
      <c r="L160" s="324">
        <v>0.25</v>
      </c>
      <c r="N160" s="311">
        <v>25</v>
      </c>
      <c r="O160" s="251">
        <v>0.3</v>
      </c>
      <c r="P160" s="142" t="s">
        <v>205</v>
      </c>
    </row>
    <row r="161" spans="6:16" ht="73">
      <c r="F161" s="301" t="s">
        <v>207</v>
      </c>
      <c r="G161" s="302" t="s">
        <v>174</v>
      </c>
      <c r="H161" s="303" t="s">
        <v>175</v>
      </c>
      <c r="I161" s="303" t="s">
        <v>176</v>
      </c>
      <c r="J161" s="303" t="s">
        <v>177</v>
      </c>
      <c r="K161" s="304" t="s">
        <v>178</v>
      </c>
      <c r="L161" s="304" t="s">
        <v>208</v>
      </c>
      <c r="M161" s="304" t="s">
        <v>180</v>
      </c>
      <c r="N161" s="325" t="s">
        <v>209</v>
      </c>
      <c r="O161" s="305" t="s">
        <v>181</v>
      </c>
      <c r="P161" s="325"/>
    </row>
    <row r="162" spans="6:13" ht="14.5">
      <c r="F162" s="306" t="s">
        <v>183</v>
      </c>
      <c r="G162" s="307"/>
      <c r="H162" s="308"/>
      <c r="I162" s="308"/>
      <c r="J162" s="308"/>
      <c r="K162" s="309"/>
      <c r="L162" s="310"/>
      <c r="M162" s="310"/>
    </row>
    <row r="163" spans="6:13" ht="14.5">
      <c r="F163" s="306" t="s">
        <v>185</v>
      </c>
      <c r="G163" s="307"/>
      <c r="H163" s="308"/>
      <c r="I163" s="308"/>
      <c r="J163" s="308"/>
      <c r="K163" s="309"/>
      <c r="L163" s="310"/>
      <c r="M163" s="310"/>
    </row>
    <row r="164" spans="6:13" ht="14.5">
      <c r="F164" s="306" t="s">
        <v>187</v>
      </c>
      <c r="G164" s="307"/>
      <c r="H164" s="308"/>
      <c r="I164" s="308"/>
      <c r="J164" s="308"/>
      <c r="K164" s="309"/>
      <c r="L164" s="310"/>
      <c r="M164" s="310"/>
    </row>
    <row r="165" spans="6:13" ht="14.5">
      <c r="F165" s="306" t="s">
        <v>188</v>
      </c>
      <c r="G165" s="312"/>
      <c r="H165" s="313"/>
      <c r="I165" s="313"/>
      <c r="J165" s="308"/>
      <c r="K165" s="309"/>
      <c r="L165" s="310"/>
      <c r="M165" s="310"/>
    </row>
    <row r="166" spans="6:13" ht="14.5">
      <c r="F166" s="306" t="s">
        <v>190</v>
      </c>
      <c r="G166" s="307">
        <v>286</v>
      </c>
      <c r="H166" s="308">
        <v>185</v>
      </c>
      <c r="I166" s="308">
        <v>172</v>
      </c>
      <c r="J166" s="308">
        <v>134</v>
      </c>
      <c r="K166" s="309"/>
      <c r="L166" s="310"/>
      <c r="M166" s="310"/>
    </row>
    <row r="167" spans="6:13" ht="14.5">
      <c r="F167" s="306" t="s">
        <v>191</v>
      </c>
      <c r="G167" s="307">
        <v>158</v>
      </c>
      <c r="H167" s="308">
        <v>71</v>
      </c>
      <c r="I167" s="308">
        <v>69</v>
      </c>
      <c r="J167" s="308">
        <v>72</v>
      </c>
      <c r="K167" s="314"/>
      <c r="L167" s="310"/>
      <c r="M167" s="310"/>
    </row>
    <row r="168" spans="6:16" ht="15">
      <c r="F168" s="143" t="s">
        <v>214</v>
      </c>
      <c r="G168" s="142">
        <v>80</v>
      </c>
      <c r="H168" s="142">
        <v>80</v>
      </c>
      <c r="I168" s="142">
        <v>127</v>
      </c>
      <c r="J168" s="326">
        <v>102</v>
      </c>
      <c r="K168" s="142">
        <v>150</v>
      </c>
      <c r="L168" s="142"/>
      <c r="M168" s="142"/>
      <c r="N168" s="142">
        <v>160</v>
      </c>
      <c r="O168" s="311">
        <v>209</v>
      </c>
      <c r="P168" s="142">
        <v>80</v>
      </c>
    </row>
    <row r="169" spans="6:16" ht="15">
      <c r="F169" s="143" t="s">
        <v>215</v>
      </c>
      <c r="G169" s="321">
        <f>G166+G167</f>
        <v>444</v>
      </c>
      <c r="H169" s="142">
        <f aca="true" t="shared" si="64" ref="H169:J169">H166+H167</f>
        <v>256</v>
      </c>
      <c r="I169" s="142">
        <f t="shared" si="64"/>
        <v>241</v>
      </c>
      <c r="J169" s="142">
        <f t="shared" si="64"/>
        <v>206</v>
      </c>
      <c r="K169" s="142">
        <v>90</v>
      </c>
      <c r="L169" s="142"/>
      <c r="M169" s="142"/>
      <c r="N169" s="142">
        <v>90</v>
      </c>
      <c r="O169" s="311">
        <v>141</v>
      </c>
      <c r="P169" s="142">
        <v>440</v>
      </c>
    </row>
    <row r="170" spans="6:16" ht="15">
      <c r="F170" s="143" t="s">
        <v>104</v>
      </c>
      <c r="G170" s="142">
        <f>SUM(G168:G169)</f>
        <v>524</v>
      </c>
      <c r="H170" s="142">
        <f>SUM(H168:H169)</f>
        <v>336</v>
      </c>
      <c r="I170" s="142">
        <f>SUM(I168:I169)</f>
        <v>368</v>
      </c>
      <c r="J170" s="142">
        <f>SUM(J168:J169)</f>
        <v>308</v>
      </c>
      <c r="K170" s="142">
        <f>SUM(K168:K169)</f>
        <v>240</v>
      </c>
      <c r="L170" s="142">
        <v>250</v>
      </c>
      <c r="M170" s="142">
        <v>492</v>
      </c>
      <c r="N170" s="142">
        <f>SUM(N168:N169)</f>
        <v>250</v>
      </c>
      <c r="O170" s="311">
        <f>SUM(O168:O169)</f>
        <v>350</v>
      </c>
      <c r="P170" s="142">
        <f>SUM(P168:P169)</f>
        <v>520</v>
      </c>
    </row>
    <row r="172" ht="15">
      <c r="O172" s="142">
        <v>2015</v>
      </c>
    </row>
    <row r="173" spans="1:15" ht="15">
      <c r="A173" s="143" t="s">
        <v>225</v>
      </c>
      <c r="O173" s="142">
        <v>201</v>
      </c>
    </row>
    <row r="174" spans="1:15" ht="15">
      <c r="A174" s="143" t="s">
        <v>226</v>
      </c>
      <c r="O174" s="142">
        <v>86</v>
      </c>
    </row>
    <row r="175" spans="13:15" ht="15">
      <c r="M175" s="142">
        <v>312</v>
      </c>
      <c r="O175" s="142">
        <f>SUM(O173:O174)</f>
        <v>287</v>
      </c>
    </row>
    <row r="176" ht="15">
      <c r="A176" s="143" t="s">
        <v>227</v>
      </c>
    </row>
    <row r="177" spans="1:17" ht="15">
      <c r="A177" s="143" t="s">
        <v>228</v>
      </c>
      <c r="F177" s="143">
        <f>24*1.55</f>
        <v>37.2</v>
      </c>
      <c r="M177" s="142">
        <f>M170/M175</f>
        <v>1.5769230769230769</v>
      </c>
      <c r="O177" s="142">
        <f>O170/O175</f>
        <v>1.2195121951219512</v>
      </c>
      <c r="P177" s="142">
        <f>POWER(1.13,6)</f>
        <v>2.0819517526089983</v>
      </c>
      <c r="Q177" s="251">
        <v>0.05</v>
      </c>
    </row>
    <row r="178" ht="15">
      <c r="M178" s="251">
        <v>0.12</v>
      </c>
    </row>
    <row r="179" spans="1:6" ht="15">
      <c r="A179" s="143" t="s">
        <v>229</v>
      </c>
      <c r="F179" s="143">
        <f>27/0.65</f>
        <v>41.53846153846154</v>
      </c>
    </row>
    <row r="180" spans="1:15" ht="15">
      <c r="A180" s="143" t="s">
        <v>230</v>
      </c>
      <c r="F180" s="143">
        <f>F179/F177</f>
        <v>1.1166253101736971</v>
      </c>
      <c r="O180" s="142">
        <v>2025</v>
      </c>
    </row>
    <row r="181" ht="15">
      <c r="O181" s="142">
        <v>115</v>
      </c>
    </row>
    <row r="182" ht="15">
      <c r="O182" s="142">
        <v>360</v>
      </c>
    </row>
    <row r="183" ht="15">
      <c r="O183" s="142">
        <f>SUM(O181:O182)</f>
        <v>475</v>
      </c>
    </row>
    <row r="185" ht="15">
      <c r="O185" s="142">
        <f>O183/O170</f>
        <v>1.3571428571428572</v>
      </c>
    </row>
    <row r="188" spans="1:15" ht="18">
      <c r="A188" s="300" t="s">
        <v>231</v>
      </c>
      <c r="B188" s="300"/>
      <c r="C188" s="300"/>
      <c r="D188" s="300"/>
      <c r="E188" s="300"/>
      <c r="G188" s="143" t="s">
        <v>232</v>
      </c>
      <c r="H188" s="143" t="s">
        <v>209</v>
      </c>
      <c r="I188" s="143" t="s">
        <v>176</v>
      </c>
      <c r="J188" s="143" t="s">
        <v>177</v>
      </c>
      <c r="K188" s="143" t="s">
        <v>208</v>
      </c>
      <c r="L188" s="143" t="s">
        <v>233</v>
      </c>
      <c r="M188" s="143" t="s">
        <v>89</v>
      </c>
      <c r="N188" s="143" t="s">
        <v>234</v>
      </c>
      <c r="O188" s="311" t="s">
        <v>181</v>
      </c>
    </row>
    <row r="189" spans="6:15" ht="73">
      <c r="F189" s="301" t="s">
        <v>207</v>
      </c>
      <c r="G189" s="142">
        <v>420</v>
      </c>
      <c r="H189" s="142">
        <v>200</v>
      </c>
      <c r="I189" s="142">
        <v>208</v>
      </c>
      <c r="J189" s="142">
        <v>288</v>
      </c>
      <c r="K189" s="142">
        <v>230</v>
      </c>
      <c r="L189" s="142">
        <v>306</v>
      </c>
      <c r="M189" s="142">
        <v>230</v>
      </c>
      <c r="N189" s="142"/>
      <c r="O189" s="311">
        <v>420</v>
      </c>
    </row>
    <row r="190" spans="6:15" ht="14.5">
      <c r="F190" s="327" t="s">
        <v>235</v>
      </c>
      <c r="G190" s="142"/>
      <c r="H190" s="142"/>
      <c r="I190" s="142"/>
      <c r="J190" s="142"/>
      <c r="K190" s="142"/>
      <c r="L190" s="142"/>
      <c r="M190" s="142"/>
      <c r="N190" s="142"/>
      <c r="O190" s="311">
        <f>O189/14100</f>
        <v>0.029787234042553193</v>
      </c>
    </row>
    <row r="191" spans="6:15" ht="29">
      <c r="F191" s="327" t="s">
        <v>236</v>
      </c>
      <c r="G191" s="142"/>
      <c r="H191" s="142"/>
      <c r="I191" s="142"/>
      <c r="J191" s="142"/>
      <c r="K191" s="142"/>
      <c r="L191" s="142"/>
      <c r="M191" s="142"/>
      <c r="N191" s="142">
        <v>17</v>
      </c>
      <c r="O191" s="311">
        <v>17</v>
      </c>
    </row>
    <row r="192" spans="6:15" ht="29">
      <c r="F192" s="327" t="s">
        <v>237</v>
      </c>
      <c r="G192" s="142"/>
      <c r="H192" s="142"/>
      <c r="I192" s="142"/>
      <c r="J192" s="142">
        <v>20</v>
      </c>
      <c r="K192" s="142"/>
      <c r="L192" s="142"/>
      <c r="M192" s="142"/>
      <c r="N192" s="142"/>
      <c r="O192" s="311">
        <v>17</v>
      </c>
    </row>
    <row r="193" spans="6:15" ht="14.5">
      <c r="F193" s="328" t="s">
        <v>238</v>
      </c>
      <c r="G193" s="142">
        <v>10</v>
      </c>
      <c r="H193" s="142">
        <v>0</v>
      </c>
      <c r="I193" s="142">
        <v>13</v>
      </c>
      <c r="J193" s="142">
        <v>4</v>
      </c>
      <c r="K193" s="142"/>
      <c r="L193" s="142">
        <v>7</v>
      </c>
      <c r="M193" s="142">
        <v>0</v>
      </c>
      <c r="N193" s="142">
        <v>2</v>
      </c>
      <c r="O193" s="311"/>
    </row>
    <row r="194" ht="15">
      <c r="O194" s="311"/>
    </row>
    <row r="195" ht="15">
      <c r="O195" s="311"/>
    </row>
    <row r="196" ht="15">
      <c r="O196" s="142">
        <f>429/208</f>
        <v>2.0625</v>
      </c>
    </row>
    <row r="197" ht="14">
      <c r="A197" s="143" t="s">
        <v>239</v>
      </c>
    </row>
    <row r="198" spans="1:23" ht="67.5">
      <c r="A198" s="329" t="s">
        <v>240</v>
      </c>
      <c r="B198" s="329"/>
      <c r="C198" s="329"/>
      <c r="D198" s="329"/>
      <c r="E198" s="329"/>
      <c r="F198" s="330">
        <v>2013</v>
      </c>
      <c r="G198" s="330">
        <v>2014</v>
      </c>
      <c r="H198" s="330">
        <v>2015</v>
      </c>
      <c r="I198" s="331">
        <v>2016</v>
      </c>
      <c r="J198" s="331">
        <v>2017</v>
      </c>
      <c r="K198" s="331">
        <v>2018</v>
      </c>
      <c r="L198" s="331">
        <v>2019</v>
      </c>
      <c r="M198" s="331">
        <v>2020</v>
      </c>
      <c r="N198" s="331">
        <v>2021</v>
      </c>
      <c r="O198" s="331">
        <v>2022</v>
      </c>
      <c r="P198" s="331">
        <v>2023</v>
      </c>
      <c r="Q198" s="331">
        <v>2024</v>
      </c>
      <c r="R198" s="332">
        <v>2025</v>
      </c>
      <c r="S198" s="150"/>
      <c r="T198" s="150"/>
      <c r="U198" s="150"/>
      <c r="V198" s="150"/>
      <c r="W198" s="150"/>
    </row>
    <row r="199" spans="1:23" ht="15">
      <c r="A199" s="143" t="s">
        <v>241</v>
      </c>
      <c r="F199" s="334">
        <v>2700</v>
      </c>
      <c r="G199" s="334">
        <v>3400</v>
      </c>
      <c r="H199" s="334">
        <v>4700</v>
      </c>
      <c r="I199" s="334">
        <v>6800</v>
      </c>
      <c r="J199" s="333">
        <v>9100</v>
      </c>
      <c r="K199" s="334">
        <v>11600</v>
      </c>
      <c r="L199" s="334">
        <v>14100</v>
      </c>
      <c r="M199" s="334">
        <v>17100</v>
      </c>
      <c r="N199" s="334">
        <v>20600</v>
      </c>
      <c r="O199" s="335">
        <f>O200+O201</f>
        <v>25204.1</v>
      </c>
      <c r="P199" s="335">
        <f aca="true" t="shared" si="65" ref="P199:R199">P200+P201</f>
        <v>30984.563000000002</v>
      </c>
      <c r="Q199" s="335">
        <f t="shared" si="65"/>
        <v>38267.66519</v>
      </c>
      <c r="R199" s="335">
        <f t="shared" si="65"/>
        <v>47474.1033647</v>
      </c>
      <c r="S199" s="335"/>
      <c r="T199" s="335"/>
      <c r="U199" s="335"/>
      <c r="V199" s="335"/>
      <c r="W199" s="335"/>
    </row>
    <row r="200" spans="1:23" ht="14.5">
      <c r="A200" s="143" t="s">
        <v>243</v>
      </c>
      <c r="F200" s="208">
        <f aca="true" t="shared" si="66" ref="F200:G200">F202*F199</f>
        <v>698.0325120000001</v>
      </c>
      <c r="G200" s="208">
        <f t="shared" si="66"/>
        <v>1008.032</v>
      </c>
      <c r="H200" s="142">
        <f>H202*H199</f>
        <v>1598.0000000000002</v>
      </c>
      <c r="I200" s="208">
        <f>I202*I199</f>
        <v>2652</v>
      </c>
      <c r="J200" s="208">
        <f aca="true" t="shared" si="67" ref="J200:M200">J202*J199</f>
        <v>3800.9790000000003</v>
      </c>
      <c r="K200" s="208">
        <f t="shared" si="67"/>
        <v>5189.213484</v>
      </c>
      <c r="L200" s="208">
        <f t="shared" si="67"/>
        <v>6755.416529588999</v>
      </c>
      <c r="M200" s="208">
        <f t="shared" si="67"/>
        <v>8774.423678336587</v>
      </c>
      <c r="N200" s="208">
        <f>N202*N199</f>
        <v>11330.000000000002</v>
      </c>
      <c r="O200" s="263">
        <f>N200*1.3</f>
        <v>14729.000000000004</v>
      </c>
      <c r="P200" s="263">
        <f aca="true" t="shared" si="68" ref="P200:R200">O200*1.3</f>
        <v>19147.700000000004</v>
      </c>
      <c r="Q200" s="263">
        <f t="shared" si="68"/>
        <v>24892.010000000006</v>
      </c>
      <c r="R200" s="336">
        <f t="shared" si="68"/>
        <v>32359.61300000001</v>
      </c>
      <c r="S200" s="263"/>
      <c r="T200" s="263"/>
      <c r="U200" s="263"/>
      <c r="V200" s="263"/>
      <c r="W200" s="263"/>
    </row>
    <row r="201" spans="1:23" ht="14.5">
      <c r="A201" s="143" t="s">
        <v>244</v>
      </c>
      <c r="F201" s="208">
        <f aca="true" t="shared" si="69" ref="F201:G201">F199-F200</f>
        <v>2001.9674879999998</v>
      </c>
      <c r="G201" s="208">
        <f t="shared" si="69"/>
        <v>2391.968</v>
      </c>
      <c r="H201" s="142">
        <f>H199-H200</f>
        <v>3102</v>
      </c>
      <c r="I201" s="208">
        <f>I199-I200</f>
        <v>4148</v>
      </c>
      <c r="J201" s="208">
        <f aca="true" t="shared" si="70" ref="J201:N201">J199-J200</f>
        <v>5299.021</v>
      </c>
      <c r="K201" s="208">
        <f t="shared" si="70"/>
        <v>6410.786516</v>
      </c>
      <c r="L201" s="208">
        <f t="shared" si="70"/>
        <v>7344.583470411001</v>
      </c>
      <c r="M201" s="208">
        <f t="shared" si="70"/>
        <v>8325.576321663413</v>
      </c>
      <c r="N201" s="208">
        <f t="shared" si="70"/>
        <v>9269.999999999998</v>
      </c>
      <c r="O201" s="263">
        <f>N201*1.13</f>
        <v>10475.099999999997</v>
      </c>
      <c r="P201" s="263">
        <f aca="true" t="shared" si="71" ref="P201:R201">O201*1.13</f>
        <v>11836.862999999996</v>
      </c>
      <c r="Q201" s="263">
        <f t="shared" si="71"/>
        <v>13375.655189999994</v>
      </c>
      <c r="R201" s="336">
        <f t="shared" si="71"/>
        <v>15114.490364699992</v>
      </c>
      <c r="S201" s="263"/>
      <c r="T201" s="263"/>
      <c r="U201" s="263"/>
      <c r="V201" s="263"/>
      <c r="W201" s="263"/>
    </row>
    <row r="202" spans="1:23" ht="15">
      <c r="A202" s="143" t="s">
        <v>245</v>
      </c>
      <c r="F202" s="337">
        <f>G202*0.872</f>
        <v>0.25853056</v>
      </c>
      <c r="G202" s="337">
        <f>H202*0.872</f>
        <v>0.29648</v>
      </c>
      <c r="H202" s="338">
        <v>0.34</v>
      </c>
      <c r="I202" s="338">
        <v>0.39</v>
      </c>
      <c r="J202" s="337">
        <f>I202*1.071</f>
        <v>0.41769</v>
      </c>
      <c r="K202" s="337">
        <f aca="true" t="shared" si="72" ref="K202:M202">J202*1.071</f>
        <v>0.44734598999999997</v>
      </c>
      <c r="L202" s="337">
        <f t="shared" si="72"/>
        <v>0.47910755528999993</v>
      </c>
      <c r="M202" s="337">
        <f t="shared" si="72"/>
        <v>0.5131241917155899</v>
      </c>
      <c r="N202" s="337">
        <v>0.55</v>
      </c>
      <c r="O202" s="339">
        <f>O200/O199</f>
        <v>0.5843890478136495</v>
      </c>
      <c r="P202" s="339">
        <f>P200/P199</f>
        <v>0.6179754737867371</v>
      </c>
      <c r="Q202" s="339">
        <f>Q200/Q199</f>
        <v>0.6504710929295137</v>
      </c>
      <c r="R202" s="339">
        <f>R200/R199</f>
        <v>0.6816266281305152</v>
      </c>
      <c r="S202" s="339"/>
      <c r="T202" s="339"/>
      <c r="U202" s="339"/>
      <c r="V202" s="339"/>
      <c r="W202" s="339"/>
    </row>
    <row r="203" spans="1:13" ht="15">
      <c r="A203" s="143" t="s">
        <v>246</v>
      </c>
      <c r="F203" s="142"/>
      <c r="G203" s="142"/>
      <c r="H203" s="142"/>
      <c r="I203" s="142"/>
      <c r="J203" s="142"/>
      <c r="K203" s="142"/>
      <c r="L203" s="142"/>
      <c r="M203" s="142"/>
    </row>
    <row r="204" spans="1:14" ht="15">
      <c r="A204" s="143" t="s">
        <v>247</v>
      </c>
      <c r="F204" s="340">
        <f aca="true" t="shared" si="73" ref="F204:J204">F205/F200</f>
        <v>0.027453119465315312</v>
      </c>
      <c r="G204" s="340">
        <f t="shared" si="73"/>
        <v>0.02359200293123551</v>
      </c>
      <c r="H204" s="340">
        <f t="shared" si="73"/>
        <v>0.018468606963945543</v>
      </c>
      <c r="I204" s="340">
        <f t="shared" si="73"/>
        <v>0.013810492799821179</v>
      </c>
      <c r="J204" s="340">
        <f t="shared" si="73"/>
        <v>0.011958012603926798</v>
      </c>
      <c r="K204" s="340">
        <f>K205/K200</f>
        <v>0.010869879273109706</v>
      </c>
      <c r="L204" s="340">
        <f>L205/L200</f>
        <v>0.010362055351198132</v>
      </c>
      <c r="M204" s="340"/>
      <c r="N204" s="340"/>
    </row>
    <row r="205" spans="1:13" ht="15">
      <c r="A205" s="143" t="s">
        <v>248</v>
      </c>
      <c r="F205" s="208">
        <f aca="true" t="shared" si="74" ref="F205:J205">G205/1.241</f>
        <v>19.163169942610146</v>
      </c>
      <c r="G205" s="208">
        <f t="shared" si="74"/>
        <v>23.781493898779193</v>
      </c>
      <c r="H205" s="208">
        <f t="shared" si="74"/>
        <v>29.512833928384982</v>
      </c>
      <c r="I205" s="208">
        <f>J205/1.241</f>
        <v>36.625426905125764</v>
      </c>
      <c r="J205" s="208">
        <f t="shared" si="74"/>
        <v>45.45215478926108</v>
      </c>
      <c r="K205" s="208">
        <f>L205/1.241</f>
        <v>56.406124093473004</v>
      </c>
      <c r="L205" s="208">
        <v>70</v>
      </c>
      <c r="M205" s="142"/>
    </row>
    <row r="206" spans="1:13" ht="15">
      <c r="A206" s="143" t="s">
        <v>249</v>
      </c>
      <c r="F206" s="208"/>
      <c r="G206" s="208"/>
      <c r="H206" s="208"/>
      <c r="I206" s="208"/>
      <c r="J206" s="208"/>
      <c r="K206" s="208"/>
      <c r="L206" s="208"/>
      <c r="M206" s="142"/>
    </row>
    <row r="207" spans="1:14" ht="15">
      <c r="A207" s="143" t="s">
        <v>250</v>
      </c>
      <c r="F207" s="340">
        <f aca="true" t="shared" si="75" ref="F207:K207">F208/F201</f>
        <v>0.11780252749908288</v>
      </c>
      <c r="G207" s="340">
        <f t="shared" si="75"/>
        <v>0.10293553513308741</v>
      </c>
      <c r="H207" s="340">
        <f t="shared" si="75"/>
        <v>0.08300682336286752</v>
      </c>
      <c r="I207" s="340">
        <f t="shared" si="75"/>
        <v>0.06711055281940073</v>
      </c>
      <c r="J207" s="340">
        <f t="shared" si="75"/>
        <v>0.05747247372877724</v>
      </c>
      <c r="K207" s="340">
        <f t="shared" si="75"/>
        <v>0.05125640591625138</v>
      </c>
      <c r="L207" s="340">
        <f>L208/L201</f>
        <v>0.04765416601363972</v>
      </c>
      <c r="M207" s="142"/>
      <c r="N207" s="340"/>
    </row>
    <row r="208" spans="1:13" ht="15">
      <c r="A208" s="143" t="s">
        <v>251</v>
      </c>
      <c r="F208" s="341">
        <f>F218-F205</f>
        <v>235.83683005738985</v>
      </c>
      <c r="G208" s="208">
        <f aca="true" t="shared" si="76" ref="G208:L208">G218-G205</f>
        <v>246.2185061012208</v>
      </c>
      <c r="H208" s="208">
        <f t="shared" si="76"/>
        <v>257.48716607161504</v>
      </c>
      <c r="I208" s="208">
        <f t="shared" si="76"/>
        <v>278.3745730948742</v>
      </c>
      <c r="J208" s="208">
        <f t="shared" si="76"/>
        <v>304.5478452107389</v>
      </c>
      <c r="K208" s="208">
        <f t="shared" si="76"/>
        <v>328.593875906527</v>
      </c>
      <c r="L208" s="208">
        <f t="shared" si="76"/>
        <v>350</v>
      </c>
      <c r="M208" s="142"/>
    </row>
    <row r="209" spans="6:13" ht="15">
      <c r="F209" s="142"/>
      <c r="G209" s="142"/>
      <c r="H209" s="142"/>
      <c r="I209" s="142"/>
      <c r="J209" s="142"/>
      <c r="K209" s="142"/>
      <c r="L209" s="142"/>
      <c r="M209" s="142"/>
    </row>
    <row r="210" spans="6:13" ht="15">
      <c r="F210" s="142"/>
      <c r="G210" s="142"/>
      <c r="H210" s="142"/>
      <c r="I210" s="142"/>
      <c r="J210" s="142"/>
      <c r="K210" s="142"/>
      <c r="L210" s="142"/>
      <c r="M210" s="142"/>
    </row>
    <row r="211" spans="6:13" ht="15">
      <c r="F211" s="142"/>
      <c r="G211" s="142"/>
      <c r="H211" s="142"/>
      <c r="I211" s="142"/>
      <c r="J211" s="142"/>
      <c r="K211" s="142"/>
      <c r="L211" s="142"/>
      <c r="M211" s="142"/>
    </row>
    <row r="213" ht="12.75"/>
    <row r="214" ht="12.75"/>
    <row r="215" ht="12.75"/>
    <row r="216" spans="6:13" ht="15">
      <c r="F216" s="331">
        <v>2013</v>
      </c>
      <c r="G216" s="331">
        <v>2014</v>
      </c>
      <c r="H216" s="331">
        <v>2015</v>
      </c>
      <c r="I216" s="331">
        <v>2016</v>
      </c>
      <c r="J216" s="331">
        <v>2017</v>
      </c>
      <c r="K216" s="331">
        <v>2018</v>
      </c>
      <c r="L216" s="331">
        <v>2019</v>
      </c>
      <c r="M216" s="142" t="s">
        <v>252</v>
      </c>
    </row>
    <row r="217" ht="12.75"/>
    <row r="218" spans="1:14" ht="12.75">
      <c r="A218" s="143" t="s">
        <v>253</v>
      </c>
      <c r="F218" s="142">
        <v>255</v>
      </c>
      <c r="G218" s="142">
        <v>270</v>
      </c>
      <c r="H218" s="142">
        <v>287</v>
      </c>
      <c r="I218" s="142">
        <v>315</v>
      </c>
      <c r="J218" s="142">
        <v>350</v>
      </c>
      <c r="K218" s="142">
        <v>385</v>
      </c>
      <c r="L218" s="142">
        <v>420</v>
      </c>
      <c r="M218" s="251">
        <v>0.09</v>
      </c>
      <c r="N218" s="142">
        <f>POWER(1.09,5)</f>
        <v>1.5386239549000005</v>
      </c>
    </row>
    <row r="219" spans="1:12" ht="12.75">
      <c r="A219" s="143" t="s">
        <v>254</v>
      </c>
      <c r="F219" s="321">
        <f aca="true" t="shared" si="77" ref="F219:L219">F218/F136</f>
        <v>0.09444444444444444</v>
      </c>
      <c r="G219" s="321">
        <f t="shared" si="77"/>
        <v>0.07941176470588235</v>
      </c>
      <c r="H219" s="321">
        <f t="shared" si="77"/>
        <v>0.06106382978723404</v>
      </c>
      <c r="I219" s="321">
        <f t="shared" si="77"/>
        <v>0.04632352941176471</v>
      </c>
      <c r="J219" s="321">
        <f t="shared" si="77"/>
        <v>0.038461538461538464</v>
      </c>
      <c r="K219" s="321">
        <f t="shared" si="77"/>
        <v>0.03318965517241379</v>
      </c>
      <c r="L219" s="321">
        <f t="shared" si="77"/>
        <v>0.029787234042553193</v>
      </c>
    </row>
    <row r="220" spans="1:12" ht="12.75">
      <c r="A220" s="143" t="s">
        <v>255</v>
      </c>
      <c r="F220" s="142"/>
      <c r="G220" s="142">
        <f>G219/F219</f>
        <v>0.8408304498269896</v>
      </c>
      <c r="H220" s="142">
        <f aca="true" t="shared" si="78" ref="H220:L220">H219/G219</f>
        <v>0.7689519306540583</v>
      </c>
      <c r="I220" s="142">
        <f t="shared" si="78"/>
        <v>0.7586083213773315</v>
      </c>
      <c r="J220" s="142">
        <f>J219/I219</f>
        <v>0.8302808302808303</v>
      </c>
      <c r="K220" s="142">
        <f t="shared" si="78"/>
        <v>0.8629310344827585</v>
      </c>
      <c r="L220" s="142">
        <f t="shared" si="78"/>
        <v>0.8974854932301742</v>
      </c>
    </row>
    <row r="221" spans="1:12" ht="12.75">
      <c r="A221" s="143" t="s">
        <v>256</v>
      </c>
      <c r="F221" s="142"/>
      <c r="G221" s="142"/>
      <c r="H221" s="142"/>
      <c r="I221" s="142"/>
      <c r="J221" s="142"/>
      <c r="K221" s="142"/>
      <c r="L221" s="142">
        <f>L219/H219</f>
        <v>0.48780487804878053</v>
      </c>
    </row>
    <row r="222" ht="12.75">
      <c r="A222" s="143">
        <f>POWER(0.83,4)</f>
        <v>0.4745832099999999</v>
      </c>
    </row>
    <row r="223" ht="12.75"/>
    <row r="224" ht="12.75"/>
    <row r="225" ht="12.75"/>
    <row r="226" ht="12.75"/>
    <row r="227" ht="12.75"/>
    <row r="228" spans="1:9" ht="12.75">
      <c r="A228" s="143" t="s">
        <v>257</v>
      </c>
      <c r="F228" s="143">
        <v>2018</v>
      </c>
      <c r="G228" s="143">
        <v>2019</v>
      </c>
      <c r="H228" s="143">
        <v>2023</v>
      </c>
      <c r="I228" s="143" t="s">
        <v>258</v>
      </c>
    </row>
    <row r="229" spans="6:10" ht="12.75">
      <c r="F229" s="142">
        <v>161</v>
      </c>
      <c r="G229" s="142">
        <v>178</v>
      </c>
      <c r="H229" s="142">
        <v>267</v>
      </c>
      <c r="I229" s="342">
        <v>0.105</v>
      </c>
      <c r="J229" s="143">
        <f>POWER(1.07,5)</f>
        <v>1.4025517307000002</v>
      </c>
    </row>
    <row r="230" ht="12.75"/>
    <row r="231" ht="12.75"/>
    <row r="232" spans="1:9" ht="12.75">
      <c r="A232" s="143" t="s">
        <v>259</v>
      </c>
      <c r="F232" s="208">
        <v>78</v>
      </c>
      <c r="G232" s="208">
        <f>1.05*F232</f>
        <v>81.9</v>
      </c>
      <c r="H232" s="208">
        <f>1.05*1.05*1.05*1.05*G232</f>
        <v>99.54996187500002</v>
      </c>
      <c r="I232" s="251">
        <v>0.05</v>
      </c>
    </row>
    <row r="233" spans="6:15" ht="12.75">
      <c r="F233" s="341"/>
      <c r="G233" s="341"/>
      <c r="H233" s="341"/>
      <c r="O233" s="142" t="s">
        <v>260</v>
      </c>
    </row>
    <row r="234" spans="1:9" ht="12.75">
      <c r="A234" s="143" t="s">
        <v>261</v>
      </c>
      <c r="F234" s="208">
        <v>73</v>
      </c>
      <c r="G234" s="208">
        <v>73</v>
      </c>
      <c r="H234" s="208">
        <v>73</v>
      </c>
      <c r="I234" s="251">
        <v>0</v>
      </c>
    </row>
    <row r="235" spans="6:9" ht="12.75">
      <c r="F235" s="208"/>
      <c r="G235" s="208"/>
      <c r="H235" s="208"/>
      <c r="I235" s="142"/>
    </row>
    <row r="236" spans="1:9" ht="12.75">
      <c r="A236" s="143" t="s">
        <v>262</v>
      </c>
      <c r="F236" s="343">
        <f>G236/1.08</f>
        <v>74.07407407407408</v>
      </c>
      <c r="G236" s="344">
        <v>80</v>
      </c>
      <c r="H236" s="343">
        <f>1.08*1.08*1.08*1.08*G236</f>
        <v>108.83911680000003</v>
      </c>
      <c r="I236" s="345">
        <v>0.08</v>
      </c>
    </row>
    <row r="237" spans="6:9" ht="12.75">
      <c r="F237" s="208"/>
      <c r="G237" s="208"/>
      <c r="H237" s="208"/>
      <c r="I237" s="142"/>
    </row>
    <row r="238" spans="1:9" ht="12.75">
      <c r="A238" s="143" t="s">
        <v>104</v>
      </c>
      <c r="F238" s="208">
        <f>F229+F232+F234+F236</f>
        <v>386.0740740740741</v>
      </c>
      <c r="G238" s="208">
        <f>G229+G232+G234+G236</f>
        <v>412.9</v>
      </c>
      <c r="H238" s="208">
        <f>H229+H232+H234+H236</f>
        <v>548.3890786750001</v>
      </c>
      <c r="I238" s="346">
        <v>0.075</v>
      </c>
    </row>
    <row r="239" spans="6:9" ht="12.75">
      <c r="F239" s="142"/>
      <c r="G239" s="142"/>
      <c r="H239" s="142"/>
      <c r="I239" s="142"/>
    </row>
    <row r="240" spans="6:9" ht="12.75">
      <c r="F240" s="142"/>
      <c r="G240" s="142"/>
      <c r="H240" s="142"/>
      <c r="I240" s="142"/>
    </row>
    <row r="241" ht="12.75"/>
    <row r="242" ht="12.75"/>
    <row r="243" ht="12.75"/>
    <row r="244" spans="1:6" ht="63.75">
      <c r="A244" s="347" t="s">
        <v>263</v>
      </c>
      <c r="B244" s="347"/>
      <c r="C244" s="347"/>
      <c r="D244" s="347"/>
      <c r="E244" s="347"/>
      <c r="F244" s="143">
        <f>252*0.5*365*24</f>
        <v>1103760</v>
      </c>
    </row>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6" spans="1:5" ht="17.5">
      <c r="A266" s="300" t="s">
        <v>264</v>
      </c>
      <c r="B266" s="300"/>
      <c r="C266" s="300"/>
      <c r="D266" s="300"/>
      <c r="E266" s="300"/>
    </row>
    <row r="267" ht="14">
      <c r="J267" s="143" t="s">
        <v>234</v>
      </c>
    </row>
    <row r="268" spans="1:10" ht="14.5">
      <c r="A268" s="348" t="s">
        <v>74</v>
      </c>
      <c r="B268" s="157"/>
      <c r="C268" s="157"/>
      <c r="D268" s="157"/>
      <c r="E268" s="157"/>
      <c r="J268" s="349" t="s">
        <v>30</v>
      </c>
    </row>
    <row r="269" spans="1:10" ht="14.5">
      <c r="A269" s="348" t="s">
        <v>76</v>
      </c>
      <c r="B269" s="157"/>
      <c r="C269" s="157"/>
      <c r="D269" s="157"/>
      <c r="E269" s="157"/>
      <c r="J269" s="350" t="s">
        <v>265</v>
      </c>
    </row>
    <row r="270" spans="1:10" ht="14.5">
      <c r="A270" s="348" t="s">
        <v>78</v>
      </c>
      <c r="B270" s="157"/>
      <c r="C270" s="157"/>
      <c r="D270" s="157"/>
      <c r="E270" s="157"/>
      <c r="J270" s="350" t="s">
        <v>266</v>
      </c>
    </row>
    <row r="271" spans="1:10" ht="14.5">
      <c r="A271" s="348" t="s">
        <v>30</v>
      </c>
      <c r="B271" s="157"/>
      <c r="C271" s="157"/>
      <c r="D271" s="157"/>
      <c r="E271" s="157"/>
      <c r="J271" s="350" t="s">
        <v>267</v>
      </c>
    </row>
    <row r="272" spans="1:10" ht="14.5">
      <c r="A272" s="348" t="s">
        <v>84</v>
      </c>
      <c r="B272" s="157"/>
      <c r="C272" s="157"/>
      <c r="D272" s="157"/>
      <c r="E272" s="157"/>
      <c r="J272" s="350" t="s">
        <v>268</v>
      </c>
    </row>
    <row r="273" spans="1:10" ht="14.5">
      <c r="A273" s="348" t="s">
        <v>86</v>
      </c>
      <c r="B273" s="157"/>
      <c r="C273" s="157"/>
      <c r="D273" s="157"/>
      <c r="E273" s="157"/>
      <c r="J273" s="350" t="s">
        <v>90</v>
      </c>
    </row>
    <row r="274" spans="1:10" ht="14.5">
      <c r="A274" s="351" t="s">
        <v>269</v>
      </c>
      <c r="B274" s="352"/>
      <c r="C274" s="352"/>
      <c r="D274" s="352"/>
      <c r="E274" s="352"/>
      <c r="J274" s="350" t="s">
        <v>270</v>
      </c>
    </row>
    <row r="275" spans="1:10" ht="14.5">
      <c r="A275" s="348" t="s">
        <v>88</v>
      </c>
      <c r="B275" s="157"/>
      <c r="C275" s="157"/>
      <c r="D275" s="157"/>
      <c r="E275" s="157"/>
      <c r="J275" s="350" t="s">
        <v>271</v>
      </c>
    </row>
    <row r="276" spans="1:10" ht="14.5">
      <c r="A276" s="348" t="s">
        <v>90</v>
      </c>
      <c r="B276" s="157"/>
      <c r="C276" s="157"/>
      <c r="D276" s="157"/>
      <c r="E276" s="157"/>
      <c r="J276" s="350" t="s">
        <v>272</v>
      </c>
    </row>
    <row r="277" spans="1:10" ht="14.5">
      <c r="A277" s="353" t="s">
        <v>273</v>
      </c>
      <c r="B277" s="354"/>
      <c r="C277" s="354"/>
      <c r="D277" s="354"/>
      <c r="E277" s="354"/>
      <c r="J277" s="350" t="s">
        <v>274</v>
      </c>
    </row>
    <row r="278" spans="1:10" ht="14.5">
      <c r="A278" s="353" t="s">
        <v>275</v>
      </c>
      <c r="B278" s="354"/>
      <c r="C278" s="354"/>
      <c r="D278" s="354"/>
      <c r="E278" s="354"/>
      <c r="J278" s="355" t="s">
        <v>276</v>
      </c>
    </row>
    <row r="279" spans="1:10" ht="14.5">
      <c r="A279" s="353" t="s">
        <v>277</v>
      </c>
      <c r="B279" s="354"/>
      <c r="C279" s="354"/>
      <c r="D279" s="354"/>
      <c r="E279" s="354"/>
      <c r="J279" s="350" t="s">
        <v>278</v>
      </c>
    </row>
    <row r="280" spans="1:10" ht="15">
      <c r="A280" s="356" t="s">
        <v>279</v>
      </c>
      <c r="B280" s="354"/>
      <c r="C280" s="354"/>
      <c r="D280" s="354"/>
      <c r="E280" s="354"/>
      <c r="J280" s="350" t="s">
        <v>280</v>
      </c>
    </row>
    <row r="281" spans="1:10" ht="108">
      <c r="A281" s="143" t="s">
        <v>94</v>
      </c>
      <c r="J281" s="357" t="s">
        <v>281</v>
      </c>
    </row>
    <row r="282" spans="1:10" ht="40.5">
      <c r="A282" s="143" t="s">
        <v>282</v>
      </c>
      <c r="J282" s="357" t="s">
        <v>283</v>
      </c>
    </row>
    <row r="283" ht="15">
      <c r="A283" s="143" t="s">
        <v>284</v>
      </c>
    </row>
    <row r="284" ht="15">
      <c r="A284" s="143" t="s">
        <v>33</v>
      </c>
    </row>
    <row r="285" ht="15">
      <c r="A285" s="143" t="s">
        <v>5</v>
      </c>
    </row>
    <row r="286" spans="1:10" ht="15">
      <c r="A286" s="143" t="s">
        <v>285</v>
      </c>
      <c r="J286" s="142"/>
    </row>
    <row r="287" ht="15">
      <c r="A287" s="143" t="s">
        <v>79</v>
      </c>
    </row>
    <row r="289" ht="15">
      <c r="A289" s="143" t="s">
        <v>286</v>
      </c>
    </row>
    <row r="291" ht="15">
      <c r="A291" s="143" t="s">
        <v>74</v>
      </c>
    </row>
    <row r="292" ht="15">
      <c r="A292" s="143" t="s">
        <v>76</v>
      </c>
    </row>
    <row r="293" spans="1:11" ht="15">
      <c r="A293" s="143" t="s">
        <v>78</v>
      </c>
      <c r="K293" s="143" t="s">
        <v>287</v>
      </c>
    </row>
    <row r="294" ht="12.75">
      <c r="A294" s="143" t="s">
        <v>79</v>
      </c>
    </row>
    <row r="295" ht="12.75">
      <c r="A295" s="143" t="s">
        <v>288</v>
      </c>
    </row>
    <row r="296" ht="12.75">
      <c r="A296" s="143" t="s">
        <v>30</v>
      </c>
    </row>
    <row r="297" ht="12.75">
      <c r="A297" s="143" t="s">
        <v>84</v>
      </c>
    </row>
    <row r="298" ht="12.75">
      <c r="A298" s="143" t="s">
        <v>86</v>
      </c>
    </row>
    <row r="299" ht="12.75">
      <c r="A299" s="143" t="s">
        <v>88</v>
      </c>
    </row>
    <row r="300" ht="12.75">
      <c r="A300" s="143" t="s">
        <v>90</v>
      </c>
    </row>
    <row r="301" ht="12.75">
      <c r="A301" s="143" t="s">
        <v>273</v>
      </c>
    </row>
    <row r="302" ht="12.75">
      <c r="A302" s="143" t="s">
        <v>94</v>
      </c>
    </row>
    <row r="303" ht="12.75">
      <c r="A303" s="143" t="s">
        <v>277</v>
      </c>
    </row>
    <row r="304" ht="12.75">
      <c r="A304" s="143" t="s">
        <v>5</v>
      </c>
    </row>
    <row r="305" ht="12.75">
      <c r="A305" s="143" t="s">
        <v>33</v>
      </c>
    </row>
    <row r="306" ht="12.75">
      <c r="A306" s="143" t="s">
        <v>285</v>
      </c>
    </row>
    <row r="307" ht="12.75"/>
    <row r="308" ht="12.75"/>
    <row r="309" ht="12.75"/>
    <row r="310" ht="12.75">
      <c r="A310" s="143" t="s">
        <v>289</v>
      </c>
    </row>
    <row r="311" ht="12.75"/>
    <row r="312" ht="12.75"/>
    <row r="313" ht="12.75"/>
    <row r="314" ht="12.75"/>
    <row r="315" ht="12.75"/>
    <row r="316" ht="12.75"/>
    <row r="317" ht="12.75">
      <c r="A317" s="142"/>
    </row>
    <row r="318" ht="12.75"/>
    <row r="319" ht="12.75"/>
    <row r="320" ht="12.75"/>
    <row r="321" ht="12.75"/>
    <row r="322" ht="12.75"/>
    <row r="323" ht="12.75"/>
    <row r="324" ht="12.75">
      <c r="I324" s="142"/>
    </row>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8" spans="8:15" ht="15">
      <c r="H358" s="143" t="s">
        <v>290</v>
      </c>
      <c r="I358" s="143">
        <f>0.3*15</f>
        <v>4.5</v>
      </c>
      <c r="J358" s="143">
        <f>0.34*16.3</f>
        <v>5.542000000000001</v>
      </c>
      <c r="L358" s="143">
        <v>6.1</v>
      </c>
      <c r="M358" s="142" t="s">
        <v>291</v>
      </c>
      <c r="N358" s="142">
        <v>10.6</v>
      </c>
      <c r="O358" s="142" t="s">
        <v>292</v>
      </c>
    </row>
    <row r="361" spans="2:6" ht="15">
      <c r="B361" s="143" t="s">
        <v>293</v>
      </c>
      <c r="C361" s="143" t="s">
        <v>294</v>
      </c>
      <c r="F361" s="143" t="s">
        <v>295</v>
      </c>
    </row>
    <row r="362" spans="1:7" ht="15">
      <c r="A362" s="143">
        <v>2019</v>
      </c>
      <c r="B362" s="143">
        <v>584</v>
      </c>
      <c r="C362" s="143">
        <f>1000*B362/3.6</f>
        <v>162222.22222222222</v>
      </c>
      <c r="F362" s="143">
        <v>34.169</v>
      </c>
      <c r="G362" s="143">
        <f>F362*1000/C362</f>
        <v>0.21063082191780821</v>
      </c>
    </row>
    <row r="366" ht="15">
      <c r="A366" s="143" t="s">
        <v>296</v>
      </c>
    </row>
    <row r="368" spans="1:13" ht="15">
      <c r="A368" s="143">
        <v>2019</v>
      </c>
      <c r="B368" s="143" t="s">
        <v>297</v>
      </c>
      <c r="C368" s="143" t="s">
        <v>298</v>
      </c>
      <c r="F368" s="143" t="s">
        <v>299</v>
      </c>
      <c r="G368" s="143" t="s">
        <v>300</v>
      </c>
      <c r="H368" s="143" t="s">
        <v>301</v>
      </c>
      <c r="I368" s="143" t="s">
        <v>302</v>
      </c>
      <c r="J368" s="143" t="s">
        <v>303</v>
      </c>
      <c r="K368" s="143" t="s">
        <v>304</v>
      </c>
      <c r="L368" s="143" t="s">
        <v>305</v>
      </c>
      <c r="M368" s="143" t="s">
        <v>306</v>
      </c>
    </row>
    <row r="369" spans="1:13" ht="14.5">
      <c r="A369" s="348" t="s">
        <v>74</v>
      </c>
      <c r="B369" s="341">
        <v>639.4000000000001</v>
      </c>
      <c r="C369" s="341">
        <f aca="true" t="shared" si="79" ref="C369:C385">0.6*B369</f>
        <v>383.64000000000004</v>
      </c>
      <c r="D369" s="341"/>
      <c r="E369" s="341"/>
      <c r="F369" s="341">
        <v>700</v>
      </c>
      <c r="G369" s="341"/>
      <c r="H369" s="341"/>
      <c r="I369" s="341">
        <v>95</v>
      </c>
      <c r="J369" s="341">
        <v>300</v>
      </c>
      <c r="K369" s="338">
        <f aca="true" t="shared" si="80" ref="K369:K374">I369/L369</f>
        <v>0.16272696128811234</v>
      </c>
      <c r="L369" s="143">
        <f>0.278*6*350</f>
        <v>583.8000000000001</v>
      </c>
      <c r="M369" s="142" t="s">
        <v>121</v>
      </c>
    </row>
    <row r="370" spans="1:13" ht="14.5">
      <c r="A370" s="348" t="s">
        <v>76</v>
      </c>
      <c r="B370" s="341">
        <v>417.00000000000006</v>
      </c>
      <c r="C370" s="341">
        <f t="shared" si="79"/>
        <v>250.20000000000002</v>
      </c>
      <c r="D370" s="341"/>
      <c r="E370" s="341"/>
      <c r="F370" s="341">
        <v>490</v>
      </c>
      <c r="G370" s="341"/>
      <c r="H370" s="341"/>
      <c r="I370" s="341">
        <v>225</v>
      </c>
      <c r="J370" s="341">
        <v>250</v>
      </c>
      <c r="K370" s="338">
        <f t="shared" si="80"/>
        <v>0.6225788599889319</v>
      </c>
      <c r="L370" s="143">
        <f>0.278*200*6.5</f>
        <v>361.40000000000003</v>
      </c>
      <c r="M370" s="142" t="s">
        <v>122</v>
      </c>
    </row>
    <row r="371" spans="1:13" ht="14.5">
      <c r="A371" s="348" t="s">
        <v>78</v>
      </c>
      <c r="B371" s="341">
        <v>973.0000000000001</v>
      </c>
      <c r="C371" s="341">
        <f t="shared" si="79"/>
        <v>583.8000000000001</v>
      </c>
      <c r="D371" s="341"/>
      <c r="E371" s="341"/>
      <c r="F371" s="341">
        <v>300</v>
      </c>
      <c r="G371" s="341"/>
      <c r="H371" s="341"/>
      <c r="I371" s="341">
        <v>160</v>
      </c>
      <c r="J371" s="341">
        <v>335</v>
      </c>
      <c r="K371" s="338">
        <f t="shared" si="80"/>
        <v>0.35971223021582727</v>
      </c>
      <c r="L371" s="143">
        <f>0.278*1600</f>
        <v>444.80000000000007</v>
      </c>
      <c r="M371" s="142" t="s">
        <v>307</v>
      </c>
    </row>
    <row r="372" spans="1:13" ht="14.5">
      <c r="A372" s="348" t="s">
        <v>79</v>
      </c>
      <c r="B372" s="341">
        <v>806.2</v>
      </c>
      <c r="C372" s="341">
        <f t="shared" si="79"/>
        <v>483.72</v>
      </c>
      <c r="D372" s="341"/>
      <c r="E372" s="341"/>
      <c r="F372" s="341"/>
      <c r="G372" s="341"/>
      <c r="H372" s="341"/>
      <c r="I372" s="341">
        <v>120</v>
      </c>
      <c r="J372" s="341">
        <v>145</v>
      </c>
      <c r="K372" s="338"/>
      <c r="M372" s="142" t="s">
        <v>116</v>
      </c>
    </row>
    <row r="373" spans="1:13" ht="14.5">
      <c r="A373" s="348" t="s">
        <v>81</v>
      </c>
      <c r="B373" s="341">
        <v>287.73</v>
      </c>
      <c r="C373" s="341">
        <f t="shared" si="79"/>
        <v>172.638</v>
      </c>
      <c r="D373" s="341"/>
      <c r="E373" s="341"/>
      <c r="F373" s="341"/>
      <c r="G373" s="341"/>
      <c r="H373" s="341"/>
      <c r="I373" s="341">
        <v>70</v>
      </c>
      <c r="J373" s="341">
        <v>145</v>
      </c>
      <c r="K373" s="338"/>
      <c r="M373" s="142" t="s">
        <v>116</v>
      </c>
    </row>
    <row r="374" spans="1:13" ht="14.5">
      <c r="A374" s="348" t="s">
        <v>30</v>
      </c>
      <c r="B374" s="341">
        <v>159.46080000000003</v>
      </c>
      <c r="C374" s="341">
        <f t="shared" si="79"/>
        <v>95.67648000000001</v>
      </c>
      <c r="D374" s="341"/>
      <c r="E374" s="341"/>
      <c r="F374" s="341">
        <v>60</v>
      </c>
      <c r="G374" s="341" t="s">
        <v>308</v>
      </c>
      <c r="H374" s="341" t="s">
        <v>309</v>
      </c>
      <c r="I374" s="341">
        <v>35</v>
      </c>
      <c r="J374" s="341">
        <v>60</v>
      </c>
      <c r="K374" s="338">
        <f t="shared" si="80"/>
        <v>0.31474820143884885</v>
      </c>
      <c r="L374" s="143">
        <f>400*0.278</f>
        <v>111.20000000000002</v>
      </c>
      <c r="M374" s="142" t="s">
        <v>123</v>
      </c>
    </row>
    <row r="375" spans="1:13" ht="14.5">
      <c r="A375" s="348" t="s">
        <v>84</v>
      </c>
      <c r="B375" s="341">
        <v>221.84400000000005</v>
      </c>
      <c r="C375" s="341">
        <f t="shared" si="79"/>
        <v>133.10640000000004</v>
      </c>
      <c r="D375" s="341"/>
      <c r="E375" s="341"/>
      <c r="F375" s="341" t="s">
        <v>310</v>
      </c>
      <c r="G375" s="341"/>
      <c r="H375" s="341" t="s">
        <v>311</v>
      </c>
      <c r="I375" s="341">
        <v>60</v>
      </c>
      <c r="J375" s="341">
        <v>63</v>
      </c>
      <c r="K375" s="338"/>
      <c r="M375" s="142" t="s">
        <v>116</v>
      </c>
    </row>
    <row r="376" spans="1:13" ht="14.5">
      <c r="A376" s="348" t="s">
        <v>86</v>
      </c>
      <c r="B376" s="341">
        <v>30</v>
      </c>
      <c r="C376" s="341">
        <f t="shared" si="79"/>
        <v>18</v>
      </c>
      <c r="D376" s="341"/>
      <c r="E376" s="341"/>
      <c r="F376" s="341"/>
      <c r="G376" s="341"/>
      <c r="H376" s="341"/>
      <c r="I376" s="341">
        <v>16</v>
      </c>
      <c r="J376" s="341"/>
      <c r="K376" s="338"/>
      <c r="M376" s="142" t="s">
        <v>97</v>
      </c>
    </row>
    <row r="377" spans="1:13" ht="14.5">
      <c r="A377" s="348" t="s">
        <v>88</v>
      </c>
      <c r="B377" s="341">
        <v>5</v>
      </c>
      <c r="C377" s="341">
        <f t="shared" si="79"/>
        <v>3</v>
      </c>
      <c r="D377" s="341"/>
      <c r="E377" s="341"/>
      <c r="F377" s="341"/>
      <c r="G377" s="341"/>
      <c r="H377" s="341"/>
      <c r="I377" s="341"/>
      <c r="J377" s="341"/>
      <c r="K377" s="338"/>
      <c r="M377" s="142" t="s">
        <v>97</v>
      </c>
    </row>
    <row r="378" spans="1:13" ht="14.5">
      <c r="A378" s="348" t="s">
        <v>90</v>
      </c>
      <c r="B378" s="341">
        <v>695.0000000000001</v>
      </c>
      <c r="C378" s="341">
        <f t="shared" si="79"/>
        <v>417.00000000000006</v>
      </c>
      <c r="D378" s="341"/>
      <c r="E378" s="341"/>
      <c r="F378" s="341"/>
      <c r="G378" s="341"/>
      <c r="H378" s="341"/>
      <c r="I378" s="341">
        <v>460</v>
      </c>
      <c r="J378" s="341">
        <v>420</v>
      </c>
      <c r="K378" s="338"/>
      <c r="M378" s="142" t="s">
        <v>312</v>
      </c>
    </row>
    <row r="379" spans="1:13" ht="14.5">
      <c r="A379" s="348" t="s">
        <v>92</v>
      </c>
      <c r="B379" s="341">
        <v>255.76000000000002</v>
      </c>
      <c r="C379" s="341">
        <f t="shared" si="79"/>
        <v>153.45600000000002</v>
      </c>
      <c r="D379" s="341"/>
      <c r="E379" s="341"/>
      <c r="F379" s="341"/>
      <c r="G379" s="341"/>
      <c r="H379" s="341"/>
      <c r="I379" s="341">
        <v>60</v>
      </c>
      <c r="J379" s="341"/>
      <c r="K379" s="338"/>
      <c r="M379" s="142" t="s">
        <v>111</v>
      </c>
    </row>
    <row r="380" spans="1:13" ht="14.5">
      <c r="A380" s="348" t="s">
        <v>94</v>
      </c>
      <c r="B380" s="341">
        <v>333.6</v>
      </c>
      <c r="C380" s="341">
        <f t="shared" si="79"/>
        <v>200.16</v>
      </c>
      <c r="D380" s="341"/>
      <c r="E380" s="341"/>
      <c r="F380" s="341"/>
      <c r="G380" s="341"/>
      <c r="H380" s="341"/>
      <c r="I380" s="341">
        <v>70</v>
      </c>
      <c r="J380" s="341">
        <v>74</v>
      </c>
      <c r="K380" s="338"/>
      <c r="M380" s="142" t="s">
        <v>111</v>
      </c>
    </row>
    <row r="381" spans="1:13" ht="14.5">
      <c r="A381" s="348" t="s">
        <v>96</v>
      </c>
      <c r="B381" s="341">
        <v>200</v>
      </c>
      <c r="C381" s="341">
        <f t="shared" si="79"/>
        <v>120</v>
      </c>
      <c r="D381" s="341"/>
      <c r="E381" s="341"/>
      <c r="F381" s="341"/>
      <c r="G381" s="341"/>
      <c r="H381" s="341"/>
      <c r="I381" s="341">
        <v>120</v>
      </c>
      <c r="J381" s="341"/>
      <c r="K381" s="338"/>
      <c r="M381" s="142" t="s">
        <v>97</v>
      </c>
    </row>
    <row r="382" spans="1:13" ht="14.5">
      <c r="A382" s="157" t="s">
        <v>5</v>
      </c>
      <c r="B382" s="341">
        <v>70.05600000000001</v>
      </c>
      <c r="C382" s="341">
        <f t="shared" si="79"/>
        <v>42.03360000000001</v>
      </c>
      <c r="D382" s="341"/>
      <c r="E382" s="341"/>
      <c r="F382" s="341"/>
      <c r="G382" s="341"/>
      <c r="H382" s="341"/>
      <c r="I382" s="341"/>
      <c r="J382" s="341"/>
      <c r="K382" s="338"/>
      <c r="M382" s="142" t="s">
        <v>124</v>
      </c>
    </row>
    <row r="383" spans="1:13" ht="14.5">
      <c r="A383" s="157" t="s">
        <v>33</v>
      </c>
      <c r="B383" s="341">
        <v>150</v>
      </c>
      <c r="C383" s="341">
        <f t="shared" si="79"/>
        <v>90</v>
      </c>
      <c r="D383" s="341"/>
      <c r="E383" s="341"/>
      <c r="F383" s="341">
        <v>60</v>
      </c>
      <c r="G383" s="341">
        <v>28</v>
      </c>
      <c r="H383" s="341"/>
      <c r="I383" s="341"/>
      <c r="J383" s="341">
        <v>86</v>
      </c>
      <c r="K383" s="338"/>
      <c r="M383" s="142" t="s">
        <v>97</v>
      </c>
    </row>
    <row r="384" spans="1:13" ht="14.5">
      <c r="A384" s="157" t="s">
        <v>101</v>
      </c>
      <c r="B384" s="341">
        <v>1200</v>
      </c>
      <c r="C384" s="341">
        <f t="shared" si="79"/>
        <v>720</v>
      </c>
      <c r="D384" s="341"/>
      <c r="E384" s="341"/>
      <c r="F384" s="341"/>
      <c r="G384" s="341"/>
      <c r="H384" s="341"/>
      <c r="I384" s="341"/>
      <c r="J384" s="341">
        <v>800</v>
      </c>
      <c r="K384" s="338"/>
      <c r="M384" s="142" t="s">
        <v>125</v>
      </c>
    </row>
    <row r="385" spans="1:13" ht="14.5">
      <c r="A385" s="157" t="s">
        <v>16</v>
      </c>
      <c r="B385" s="341">
        <v>50</v>
      </c>
      <c r="C385" s="341">
        <f t="shared" si="79"/>
        <v>30</v>
      </c>
      <c r="D385" s="341"/>
      <c r="E385" s="341"/>
      <c r="F385" s="341"/>
      <c r="G385" s="341">
        <v>46</v>
      </c>
      <c r="H385" s="341"/>
      <c r="I385" s="341"/>
      <c r="J385" s="341"/>
      <c r="K385" s="341"/>
      <c r="M385" s="142" t="s">
        <v>97</v>
      </c>
    </row>
    <row r="388" spans="2:8" ht="15">
      <c r="B388" s="143" t="s">
        <v>313</v>
      </c>
      <c r="C388" s="143" t="s">
        <v>314</v>
      </c>
      <c r="F388" s="143" t="s">
        <v>315</v>
      </c>
      <c r="G388" s="143" t="s">
        <v>316</v>
      </c>
      <c r="H388" s="143" t="s">
        <v>317</v>
      </c>
    </row>
    <row r="389" spans="1:7" ht="15">
      <c r="A389" s="143" t="s">
        <v>318</v>
      </c>
      <c r="B389" s="143">
        <v>158.79</v>
      </c>
      <c r="C389" s="143">
        <v>191.45</v>
      </c>
      <c r="F389" s="143">
        <v>138.66</v>
      </c>
      <c r="G389" s="143">
        <v>576.23</v>
      </c>
    </row>
    <row r="390" spans="1:7" ht="15">
      <c r="A390" s="143" t="s">
        <v>319</v>
      </c>
      <c r="B390" s="143">
        <v>14.5</v>
      </c>
      <c r="C390" s="143">
        <v>12.4</v>
      </c>
      <c r="F390" s="143">
        <v>7.5</v>
      </c>
      <c r="G390" s="143">
        <v>34.08</v>
      </c>
    </row>
    <row r="391" spans="1:8" ht="15">
      <c r="A391" s="143" t="s">
        <v>320</v>
      </c>
      <c r="B391" s="322">
        <f>B390/(0.278*B389)</f>
        <v>0.3284732878726303</v>
      </c>
      <c r="C391" s="322">
        <f>C390/(0.278*C389)</f>
        <v>0.2329815437281932</v>
      </c>
      <c r="D391" s="322"/>
      <c r="E391" s="322"/>
      <c r="F391" s="322">
        <f>F390/(0.278*F389)</f>
        <v>0.19456524784499532</v>
      </c>
      <c r="G391" s="322">
        <f>G390/(0.278*G389)</f>
        <v>0.21274478603605146</v>
      </c>
      <c r="H391" s="143">
        <f>G391*0.278</f>
        <v>0.05914305051802231</v>
      </c>
    </row>
    <row r="396" ht="15">
      <c r="A396" s="143" t="s">
        <v>321</v>
      </c>
    </row>
    <row r="398" ht="15">
      <c r="A398" s="143" t="s">
        <v>322</v>
      </c>
    </row>
    <row r="409" ht="15">
      <c r="C409" s="143">
        <f>1.37*1.37</f>
        <v>1.8769000000000002</v>
      </c>
    </row>
    <row r="421" ht="15">
      <c r="A421" s="143" t="s">
        <v>323</v>
      </c>
    </row>
    <row r="424" spans="3:5" ht="12.75">
      <c r="C424" s="142"/>
      <c r="D424" s="142"/>
      <c r="E424" s="142"/>
    </row>
    <row r="426" ht="12.75"/>
    <row r="427" ht="12.75"/>
    <row r="428" ht="12.75"/>
    <row r="429" ht="12.75"/>
    <row r="430" ht="12.75"/>
    <row r="431" ht="12.75"/>
    <row r="432" ht="12.75"/>
    <row r="433" ht="12.75"/>
    <row r="434" ht="12.75"/>
    <row r="435" ht="12.75"/>
    <row r="436" ht="12.75"/>
    <row r="437" ht="12.75"/>
    <row r="438" ht="12.75"/>
    <row r="439" ht="12.75"/>
    <row r="440" ht="12.75"/>
    <row r="449" ht="12.75"/>
    <row r="450" ht="12.75"/>
    <row r="451" ht="12.75"/>
    <row r="452" ht="12.75"/>
    <row r="453" ht="12.75"/>
    <row r="454" ht="12.75"/>
    <row r="455" ht="12.75"/>
    <row r="456" ht="12.75"/>
    <row r="457" ht="12.75"/>
    <row r="458" ht="12.75"/>
    <row r="459" ht="12.75"/>
    <row r="460" ht="12.75"/>
    <row r="461"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sheetData>
  <mergeCells count="3">
    <mergeCell ref="X48:AA48"/>
    <mergeCell ref="X68:AA68"/>
    <mergeCell ref="X75:AA75"/>
  </mergeCells>
  <conditionalFormatting sqref="F25:W42 F66:W82 F85:W102 F105:W122 F129:W136 Y132 X140 F140:W144">
    <cfRule type="expression" priority="6" dxfId="0">
      <formula>MOD(ROW(),2)</formula>
    </cfRule>
  </conditionalFormatting>
  <conditionalFormatting sqref="F199:N199">
    <cfRule type="expression" priority="5" dxfId="0">
      <formula>MOD(ROW(),2)</formula>
    </cfRule>
  </conditionalFormatting>
  <conditionalFormatting sqref="O200:W201">
    <cfRule type="expression" priority="4" dxfId="0">
      <formula>MOD(ROW(),2)</formula>
    </cfRule>
  </conditionalFormatting>
  <conditionalFormatting sqref="F46:W62">
    <cfRule type="expression" priority="3" dxfId="0">
      <formula>MOD(ROW(),2)</formula>
    </cfRule>
  </conditionalFormatting>
  <conditionalFormatting sqref="F8:W19">
    <cfRule type="expression" priority="1" dxfId="0">
      <formula>MOD(ROW(),2)</formula>
    </cfRule>
  </conditionalFormatting>
  <printOptions/>
  <pageMargins left="0.7" right="0.7" top="0.75" bottom="0.75" header="0.3" footer="0.3"/>
  <pageSetup horizontalDpi="600" verticalDpi="600" orientation="portrait" paperSize="9" copies="1"/>
  <drawing r:id="rId1"/>
  <extLst>
    <ext xmlns:x14="http://schemas.microsoft.com/office/spreadsheetml/2009/9/main" uri="{78C0D931-6437-407d-A8EE-F0AAD7539E65}">
      <x14:conditionalFormattings>
        <x14:conditionalFormatting xmlns:xm="http://schemas.microsoft.com/office/excel/2006/main">
          <x14:cfRule type="expression" priority="6">
            <xm:f>MOD(ROW(),2)</xm:f>
            <x14:dxf>
              <fill>
                <patternFill patternType="solid">
                  <fgColor theme="5" tint="0.5999600291252136"/>
                  <bgColor theme="5" tint="0.5999600291252136"/>
                </patternFill>
              </fill>
            </x14:dxf>
          </x14:cfRule>
          <xm:sqref>F25:W42 F66:W82 F85:W102 F105:W122 F129:W136 Y132 X140 F140:W144</xm:sqref>
        </x14:conditionalFormatting>
        <x14:conditionalFormatting xmlns:xm="http://schemas.microsoft.com/office/excel/2006/main">
          <x14:cfRule type="expression" priority="5">
            <xm:f>MOD(ROW(),2)</xm:f>
            <x14:dxf>
              <fill>
                <patternFill patternType="solid">
                  <fgColor theme="5" tint="0.5999600291252136"/>
                  <bgColor theme="5" tint="0.5999600291252136"/>
                </patternFill>
              </fill>
            </x14:dxf>
          </x14:cfRule>
          <xm:sqref>F199:N199</xm:sqref>
        </x14:conditionalFormatting>
        <x14:conditionalFormatting xmlns:xm="http://schemas.microsoft.com/office/excel/2006/main">
          <x14:cfRule type="expression" priority="4">
            <xm:f>MOD(ROW(),2)</xm:f>
            <x14:dxf>
              <fill>
                <patternFill patternType="solid">
                  <fgColor theme="5" tint="0.5999600291252136"/>
                  <bgColor theme="5" tint="0.5999600291252136"/>
                </patternFill>
              </fill>
            </x14:dxf>
          </x14:cfRule>
          <xm:sqref>O200:W201</xm:sqref>
        </x14:conditionalFormatting>
        <x14:conditionalFormatting xmlns:xm="http://schemas.microsoft.com/office/excel/2006/main">
          <x14:cfRule type="expression" priority="3">
            <xm:f>MOD(ROW(),2)</xm:f>
            <x14:dxf>
              <fill>
                <patternFill patternType="solid">
                  <fgColor theme="5" tint="0.5999600291252136"/>
                  <bgColor theme="5" tint="0.5999600291252136"/>
                </patternFill>
              </fill>
            </x14:dxf>
          </x14:cfRule>
          <xm:sqref>F46:W62</xm:sqref>
        </x14:conditionalFormatting>
        <x14:conditionalFormatting xmlns:xm="http://schemas.microsoft.com/office/excel/2006/main">
          <x14:cfRule type="expression" priority="1">
            <xm:f>MOD(ROW(),2)</xm:f>
            <x14:dxf>
              <fill>
                <patternFill patternType="solid">
                  <fgColor theme="5" tint="0.5999600291252136"/>
                  <bgColor theme="5" tint="0.5999600291252136"/>
                </patternFill>
              </fill>
            </x14:dxf>
          </x14:cfRule>
          <xm:sqref>F8:W19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ONLYOFFICE/8.0.1.31</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Marlene de Bank</dc:creator>
  <cp:keywords/>
  <dc:description/>
  <cp:lastModifiedBy>Simon Bignonneau</cp:lastModifiedBy>
  <dcterms:created xsi:type="dcterms:W3CDTF">2023-10-09T12:27:50Z</dcterms:created>
  <dcterms:modified xsi:type="dcterms:W3CDTF">2024-05-03T08:56:27Z</dcterms:modified>
  <cp:category/>
  <cp:version/>
  <cp:contentType/>
  <cp:contentStatus/>
  <cp:revision>2</cp:revision>
</cp:coreProperties>
</file>