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SP_User\Documents\1-Professionnel\2-The Shift Project\1-Editorialisation\Souvenraineté E v2\Graphs, données, tableurs\"/>
    </mc:Choice>
  </mc:AlternateContent>
  <xr:revisionPtr revIDLastSave="0" documentId="13_ncr:1_{D267538F-B641-4A21-A417-F4BC503FF6E8}" xr6:coauthVersionLast="47" xr6:coauthVersionMax="47" xr10:uidLastSave="{00000000-0000-0000-0000-000000000000}"/>
  <bookViews>
    <workbookView xWindow="-110" yWindow="-110" windowWidth="19420" windowHeight="11020" tabRatio="985" xr2:uid="{A719EC4C-9D60-46A1-A453-238D54E88E2C}"/>
  </bookViews>
  <sheets>
    <sheet name="Bienvenue !" sheetId="19" r:id="rId1"/>
    <sheet name="DONNÉES COMPILÉES (TWh, 2018)" sheetId="12" r:id="rId2"/>
    <sheet name="Figure 2 - EMPREINTE" sheetId="21" r:id="rId3"/>
    <sheet name="Figure 3 - EXPOSITION" sheetId="22" r:id="rId4"/>
    <sheet name="Figure 4 -Données géographiques" sheetId="23" r:id="rId5"/>
    <sheet name="Données SDES (Mtep)" sheetId="8" r:id="rId6"/>
    <sheet name="Données SDES converties (TWh)" sheetId="10" r:id="rId7"/>
    <sheet name="Données TSP (TWh)" sheetId="9" r:id="rId8"/>
    <sheet name="Données TSP recalibrées (TWh)" sheetId="11" r:id="rId9"/>
    <sheet name="Mix électriques EU (TWh)" sheetId="20" r:id="rId10"/>
  </sheets>
  <externalReferences>
    <externalReference r:id="rId11"/>
  </externalReferences>
  <definedNames>
    <definedName name="_xlchart.v5.0" hidden="1">'[1]Figure 2 - EMPREINTE'!$A$2:$A$8</definedName>
    <definedName name="_xlchart.v5.1" hidden="1">'[1]Figure 2 - EMPREINTE'!$B$2:$B$8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3" l="1"/>
  <c r="C24" i="23"/>
  <c r="C12" i="23"/>
  <c r="C11" i="23"/>
  <c r="D11" i="23" s="1"/>
  <c r="B12" i="23"/>
  <c r="B13" i="23" s="1"/>
  <c r="B11" i="23"/>
  <c r="D12" i="23"/>
  <c r="F21" i="23"/>
  <c r="E21" i="23"/>
  <c r="B17" i="23"/>
  <c r="E17" i="23" s="1"/>
  <c r="B16" i="23"/>
  <c r="D17" i="23"/>
  <c r="D16" i="23"/>
  <c r="F12" i="23" l="1"/>
  <c r="B18" i="23"/>
  <c r="E11" i="23"/>
  <c r="F11" i="23"/>
  <c r="F13" i="23" s="1"/>
  <c r="E12" i="23"/>
  <c r="E16" i="23"/>
  <c r="F16" i="23"/>
  <c r="F17" i="23"/>
  <c r="D7" i="23"/>
  <c r="B7" i="23"/>
  <c r="E7" i="23" s="1"/>
  <c r="D6" i="23"/>
  <c r="B6" i="23"/>
  <c r="E6" i="23" s="1"/>
  <c r="B3" i="23"/>
  <c r="F3" i="23" s="1"/>
  <c r="B4" i="23"/>
  <c r="F4" i="23" s="1"/>
  <c r="B5" i="23"/>
  <c r="E5" i="23" s="1"/>
  <c r="B2" i="23"/>
  <c r="D5" i="23"/>
  <c r="E13" i="23" l="1"/>
  <c r="F18" i="23"/>
  <c r="F6" i="23"/>
  <c r="E18" i="23"/>
  <c r="E4" i="23"/>
  <c r="E3" i="23"/>
  <c r="F7" i="23"/>
  <c r="B8" i="23"/>
  <c r="E2" i="23"/>
  <c r="E8" i="23" s="1"/>
  <c r="F2" i="23"/>
  <c r="F5" i="23"/>
  <c r="F8" i="23" l="1"/>
  <c r="D6" i="22"/>
  <c r="C5" i="22"/>
  <c r="E5" i="22" s="1"/>
  <c r="F5" i="22" s="1"/>
  <c r="E4" i="22"/>
  <c r="C3" i="22"/>
  <c r="E3" i="22" s="1"/>
  <c r="F3" i="22" s="1"/>
  <c r="C2" i="22"/>
  <c r="C6" i="22" s="1"/>
  <c r="E6" i="22" s="1"/>
  <c r="F6" i="22" s="1"/>
  <c r="AB5" i="12"/>
  <c r="D5" i="12"/>
  <c r="S5" i="12"/>
  <c r="S5" i="8"/>
  <c r="W8" i="12"/>
  <c r="W7" i="12"/>
  <c r="W6" i="12"/>
  <c r="T3" i="12"/>
  <c r="U4" i="12"/>
  <c r="U3" i="12"/>
  <c r="Z6" i="12"/>
  <c r="AM3" i="12"/>
  <c r="AO11" i="12"/>
  <c r="AO12" i="12" s="1"/>
  <c r="AO7" i="12"/>
  <c r="AO10" i="12" s="1"/>
  <c r="AA7" i="8"/>
  <c r="AA7" i="10"/>
  <c r="AA10" i="10" s="1"/>
  <c r="AA10" i="8"/>
  <c r="AO6" i="12"/>
  <c r="AA6" i="10"/>
  <c r="AH8" i="11"/>
  <c r="Z5" i="11"/>
  <c r="L10" i="8"/>
  <c r="L10" i="10"/>
  <c r="G8" i="8"/>
  <c r="Z10" i="8"/>
  <c r="F4" i="22" l="1"/>
  <c r="E2" i="22"/>
  <c r="B3" i="22" l="1"/>
  <c r="B4" i="22" s="1"/>
  <c r="B5" i="22" s="1"/>
  <c r="F2" i="22"/>
  <c r="I3" i="20" l="1"/>
  <c r="I9" i="20"/>
  <c r="I4" i="20"/>
  <c r="E8" i="20"/>
  <c r="E9" i="20"/>
  <c r="E7" i="20"/>
  <c r="E4" i="20"/>
  <c r="E3" i="20"/>
  <c r="F9" i="20"/>
  <c r="G9" i="20"/>
  <c r="H9" i="20"/>
  <c r="J9" i="20"/>
  <c r="K9" i="20"/>
  <c r="E2" i="20"/>
  <c r="K2" i="20"/>
  <c r="J2" i="20"/>
  <c r="I2" i="20"/>
  <c r="H2" i="20"/>
  <c r="G2" i="20"/>
  <c r="G3" i="20" s="1"/>
  <c r="K8" i="20"/>
  <c r="J8" i="20"/>
  <c r="H8" i="20"/>
  <c r="G8" i="20"/>
  <c r="C7" i="20"/>
  <c r="C6" i="20"/>
  <c r="C5" i="20"/>
  <c r="K4" i="20"/>
  <c r="J4" i="20"/>
  <c r="H4" i="20"/>
  <c r="G4" i="20"/>
  <c r="K3" i="20"/>
  <c r="H3" i="20"/>
  <c r="C8" i="20" l="1"/>
  <c r="C3" i="20"/>
  <c r="C4" i="20"/>
  <c r="B3" i="10"/>
  <c r="D13" i="10"/>
  <c r="Y9" i="8"/>
  <c r="F4" i="12"/>
  <c r="F5" i="12"/>
  <c r="F6" i="12"/>
  <c r="F7" i="12"/>
  <c r="F8" i="12"/>
  <c r="F9" i="12"/>
  <c r="C9" i="20" l="1"/>
  <c r="L7" i="12"/>
  <c r="L6" i="12"/>
  <c r="L5" i="12"/>
  <c r="L8" i="12" l="1"/>
  <c r="L3" i="12"/>
  <c r="L4" i="12"/>
  <c r="B5" i="9" l="1"/>
  <c r="B5" i="11" s="1"/>
  <c r="AD10" i="9" l="1"/>
  <c r="AD11" i="9" s="1"/>
  <c r="Z10" i="9"/>
  <c r="AH10" i="9"/>
  <c r="B10" i="9"/>
  <c r="V9" i="8" l="1"/>
  <c r="I10" i="8"/>
  <c r="S6" i="8"/>
  <c r="S9" i="8"/>
  <c r="S8" i="8"/>
  <c r="S7" i="8"/>
  <c r="R6" i="8"/>
  <c r="P9" i="8"/>
  <c r="Q8" i="8"/>
  <c r="E7" i="8"/>
  <c r="E6" i="8"/>
  <c r="E5" i="8"/>
  <c r="E4" i="8"/>
  <c r="E3" i="8"/>
  <c r="D10" i="8"/>
  <c r="C6" i="8"/>
  <c r="B10" i="8"/>
  <c r="G7" i="8" l="1"/>
  <c r="K7" i="8"/>
  <c r="G6" i="8"/>
  <c r="K6" i="8"/>
  <c r="P10" i="8"/>
  <c r="T9" i="8"/>
  <c r="G4" i="8"/>
  <c r="K4" i="8"/>
  <c r="K8" i="8"/>
  <c r="K9" i="8"/>
  <c r="I11" i="8"/>
  <c r="G3" i="8"/>
  <c r="K3" i="8"/>
  <c r="G5" i="8"/>
  <c r="K5" i="8"/>
  <c r="R10" i="8"/>
  <c r="C10" i="8"/>
  <c r="Q3" i="8"/>
  <c r="T8" i="8"/>
  <c r="U9" i="8"/>
  <c r="S10" i="8"/>
  <c r="Q6" i="8"/>
  <c r="Q5" i="8"/>
  <c r="Q4" i="8"/>
  <c r="Q7" i="8"/>
  <c r="E10" i="8"/>
  <c r="K10" i="8" l="1"/>
  <c r="G10" i="8"/>
  <c r="I4" i="8"/>
  <c r="J4" i="8" s="1"/>
  <c r="T7" i="8"/>
  <c r="T5" i="8"/>
  <c r="T3" i="8"/>
  <c r="T4" i="8"/>
  <c r="Z9" i="8"/>
  <c r="T6" i="8"/>
  <c r="Q10" i="8"/>
  <c r="H11" i="8" l="1"/>
  <c r="I8" i="8"/>
  <c r="J8" i="8" s="1"/>
  <c r="I9" i="8"/>
  <c r="J9" i="8" s="1"/>
  <c r="I7" i="8"/>
  <c r="J7" i="8" s="1"/>
  <c r="I3" i="8"/>
  <c r="J3" i="8" s="1"/>
  <c r="I5" i="8"/>
  <c r="J5" i="8" s="1"/>
  <c r="I6" i="8"/>
  <c r="J6" i="8" s="1"/>
  <c r="U5" i="8"/>
  <c r="U6" i="8"/>
  <c r="U4" i="8"/>
  <c r="U3" i="8"/>
  <c r="U8" i="8"/>
  <c r="T10" i="8"/>
  <c r="U7" i="8" l="1"/>
  <c r="U10" i="8"/>
  <c r="W6" i="8"/>
  <c r="V4" i="8"/>
  <c r="W5" i="8"/>
  <c r="V3" i="8"/>
  <c r="W7" i="8"/>
  <c r="X7" i="8" s="1"/>
  <c r="W8" i="8"/>
  <c r="V6" i="8"/>
  <c r="V5" i="8"/>
  <c r="X3" i="8"/>
  <c r="X9" i="8"/>
  <c r="X4" i="8"/>
  <c r="Z8" i="8" l="1"/>
  <c r="Z3" i="8"/>
  <c r="X5" i="8"/>
  <c r="X8" i="8"/>
  <c r="Z5" i="8"/>
  <c r="X6" i="8"/>
  <c r="V8" i="8"/>
  <c r="Z7" i="8"/>
  <c r="V7" i="8"/>
  <c r="W10" i="8"/>
  <c r="V10" i="8" l="1"/>
  <c r="Y8" i="8"/>
  <c r="Y5" i="8"/>
  <c r="Y6" i="8"/>
  <c r="Z4" i="8"/>
  <c r="Y4" i="8"/>
  <c r="X10" i="8"/>
  <c r="Z6" i="8"/>
  <c r="Y3" i="8"/>
  <c r="Y7" i="8"/>
  <c r="Y10" i="8" l="1"/>
  <c r="D12" i="10" l="1"/>
  <c r="Z7" i="10" l="1"/>
  <c r="U4" i="10"/>
  <c r="U5" i="10"/>
  <c r="U6" i="10"/>
  <c r="U8" i="10"/>
  <c r="U9" i="10"/>
  <c r="U7" i="10"/>
  <c r="U3" i="10"/>
  <c r="U10" i="10"/>
  <c r="B9" i="10"/>
  <c r="B9" i="12" s="1"/>
  <c r="D9" i="10"/>
  <c r="D9" i="12" s="1"/>
  <c r="R7" i="10"/>
  <c r="B5" i="10"/>
  <c r="B5" i="12" s="1"/>
  <c r="R9" i="10"/>
  <c r="R9" i="12" s="1"/>
  <c r="C3" i="10"/>
  <c r="C3" i="12" s="1"/>
  <c r="D4" i="10"/>
  <c r="D4" i="12" s="1"/>
  <c r="R5" i="10"/>
  <c r="E9" i="10"/>
  <c r="E9" i="12" s="1"/>
  <c r="F3" i="10"/>
  <c r="C7" i="10"/>
  <c r="C7" i="12" s="1"/>
  <c r="D8" i="10"/>
  <c r="D8" i="12" s="1"/>
  <c r="R4" i="10"/>
  <c r="C5" i="10"/>
  <c r="C5" i="12" s="1"/>
  <c r="R3" i="10"/>
  <c r="W9" i="10"/>
  <c r="D5" i="10"/>
  <c r="R8" i="10"/>
  <c r="S3" i="10"/>
  <c r="B4" i="10"/>
  <c r="B4" i="12" s="1"/>
  <c r="D6" i="10"/>
  <c r="D6" i="12" s="1"/>
  <c r="F4" i="10"/>
  <c r="W3" i="10"/>
  <c r="S4" i="10"/>
  <c r="D7" i="10"/>
  <c r="D7" i="12" s="1"/>
  <c r="L9" i="12"/>
  <c r="L10" i="12" s="1"/>
  <c r="B6" i="10"/>
  <c r="B6" i="12" s="1"/>
  <c r="E8" i="10"/>
  <c r="E8" i="12" s="1"/>
  <c r="F7" i="10"/>
  <c r="Y9" i="10"/>
  <c r="J10" i="10"/>
  <c r="J10" i="12" s="1"/>
  <c r="B7" i="10"/>
  <c r="B7" i="12" s="1"/>
  <c r="F10" i="10"/>
  <c r="F9" i="10"/>
  <c r="B8" i="10"/>
  <c r="B8" i="12" s="1"/>
  <c r="F6" i="10"/>
  <c r="B3" i="12"/>
  <c r="G9" i="10"/>
  <c r="W4" i="10"/>
  <c r="X4" i="12" s="1"/>
  <c r="C8" i="10"/>
  <c r="C8" i="12" s="1"/>
  <c r="F8" i="10"/>
  <c r="C9" i="10"/>
  <c r="C9" i="12" s="1"/>
  <c r="V9" i="12" s="1"/>
  <c r="D3" i="10"/>
  <c r="D3" i="12" s="1"/>
  <c r="H10" i="10"/>
  <c r="H10" i="12" s="1"/>
  <c r="C4" i="10"/>
  <c r="C4" i="12" s="1"/>
  <c r="F5" i="10"/>
  <c r="E7" i="10"/>
  <c r="E7" i="12" s="1"/>
  <c r="V9" i="10"/>
  <c r="E4" i="10"/>
  <c r="E4" i="12" s="1"/>
  <c r="S8" i="10"/>
  <c r="S8" i="12" s="1"/>
  <c r="D10" i="10"/>
  <c r="S9" i="10"/>
  <c r="S9" i="12" s="1"/>
  <c r="P9" i="10"/>
  <c r="P9" i="12" s="1"/>
  <c r="S5" i="10"/>
  <c r="E3" i="10"/>
  <c r="E3" i="12" s="1"/>
  <c r="S6" i="10"/>
  <c r="S6" i="12" s="1"/>
  <c r="Q8" i="10"/>
  <c r="E5" i="10"/>
  <c r="E5" i="12" s="1"/>
  <c r="I10" i="10"/>
  <c r="I10" i="12" s="1"/>
  <c r="R6" i="10"/>
  <c r="R6" i="12" s="1"/>
  <c r="B10" i="10"/>
  <c r="G8" i="10"/>
  <c r="E6" i="10"/>
  <c r="E6" i="12" s="1"/>
  <c r="S7" i="10"/>
  <c r="S7" i="12" s="1"/>
  <c r="C6" i="10"/>
  <c r="C6" i="12" s="1"/>
  <c r="K7" i="10"/>
  <c r="Q6" i="10"/>
  <c r="G7" i="10"/>
  <c r="P10" i="10"/>
  <c r="Q3" i="10"/>
  <c r="R10" i="10"/>
  <c r="Q9" i="10"/>
  <c r="Q7" i="10"/>
  <c r="S10" i="10"/>
  <c r="K3" i="10"/>
  <c r="K4" i="10"/>
  <c r="K8" i="10"/>
  <c r="T8" i="10"/>
  <c r="Q4" i="10"/>
  <c r="T9" i="10"/>
  <c r="G4" i="10"/>
  <c r="K5" i="10"/>
  <c r="G5" i="10"/>
  <c r="C10" i="10"/>
  <c r="G3" i="10"/>
  <c r="Q5" i="10"/>
  <c r="E10" i="10"/>
  <c r="K6" i="10"/>
  <c r="G6" i="10"/>
  <c r="K9" i="10"/>
  <c r="Q10" i="10"/>
  <c r="T6" i="10"/>
  <c r="T7" i="10"/>
  <c r="Z9" i="10"/>
  <c r="T5" i="10"/>
  <c r="T4" i="10"/>
  <c r="T3" i="10"/>
  <c r="G10" i="10"/>
  <c r="K10" i="10"/>
  <c r="J9" i="10"/>
  <c r="I5" i="10"/>
  <c r="I4" i="10"/>
  <c r="J3" i="10"/>
  <c r="I6" i="10"/>
  <c r="I9" i="10"/>
  <c r="I3" i="10"/>
  <c r="J7" i="10"/>
  <c r="I7" i="10"/>
  <c r="T10" i="10"/>
  <c r="I8" i="10"/>
  <c r="V4" i="10"/>
  <c r="J5" i="10"/>
  <c r="W5" i="10"/>
  <c r="X7" i="10"/>
  <c r="X3" i="10"/>
  <c r="X9" i="10"/>
  <c r="J4" i="10"/>
  <c r="V5" i="10"/>
  <c r="W7" i="10"/>
  <c r="W8" i="10"/>
  <c r="J6" i="10"/>
  <c r="V6" i="10"/>
  <c r="J8" i="10"/>
  <c r="X4" i="10"/>
  <c r="W6" i="10"/>
  <c r="X6" i="12" s="1"/>
  <c r="V3" i="10"/>
  <c r="X8" i="10"/>
  <c r="V7" i="10"/>
  <c r="V10" i="10"/>
  <c r="Z3" i="10"/>
  <c r="Z5" i="10"/>
  <c r="X5" i="10"/>
  <c r="Z8" i="10"/>
  <c r="X6" i="10"/>
  <c r="W10" i="10"/>
  <c r="V8" i="10"/>
  <c r="Z6" i="10"/>
  <c r="X10" i="10"/>
  <c r="Z4" i="10"/>
  <c r="Y6" i="10"/>
  <c r="Y4" i="10"/>
  <c r="Y7" i="10"/>
  <c r="Y5" i="10"/>
  <c r="Y8" i="10"/>
  <c r="Y3" i="10"/>
  <c r="Y10" i="10"/>
  <c r="Z10" i="10"/>
  <c r="E15" i="11" s="1"/>
  <c r="AH9" i="11"/>
  <c r="AM9" i="12" s="1"/>
  <c r="AM8" i="12"/>
  <c r="B9" i="11"/>
  <c r="Z4" i="11"/>
  <c r="AC4" i="12" s="1"/>
  <c r="Z3" i="11"/>
  <c r="B8" i="11"/>
  <c r="B6" i="11"/>
  <c r="AH7" i="11"/>
  <c r="B7" i="11"/>
  <c r="AD9" i="11"/>
  <c r="AI9" i="12" s="1"/>
  <c r="AD8" i="11"/>
  <c r="AI8" i="12" s="1"/>
  <c r="B4" i="11"/>
  <c r="AD7" i="11"/>
  <c r="AH6" i="11"/>
  <c r="AM6" i="12" s="1"/>
  <c r="AH4" i="11"/>
  <c r="AM4" i="12" s="1"/>
  <c r="B3" i="11"/>
  <c r="AH3" i="11"/>
  <c r="Z9" i="11"/>
  <c r="AC9" i="12" s="1"/>
  <c r="AD6" i="11"/>
  <c r="AI6" i="12" s="1"/>
  <c r="Z8" i="11"/>
  <c r="AC8" i="12" s="1"/>
  <c r="AD5" i="11"/>
  <c r="Z7" i="11"/>
  <c r="AD4" i="11"/>
  <c r="AI4" i="12" s="1"/>
  <c r="Z6" i="11"/>
  <c r="AC6" i="12" s="1"/>
  <c r="AD3" i="11"/>
  <c r="AC5" i="12"/>
  <c r="AI5" i="12" l="1"/>
  <c r="AH5" i="11"/>
  <c r="AM5" i="12" s="1"/>
  <c r="AB7" i="12"/>
  <c r="AA7" i="12"/>
  <c r="AB8" i="12"/>
  <c r="AA8" i="12"/>
  <c r="AA6" i="12"/>
  <c r="AB6" i="12"/>
  <c r="AA4" i="12"/>
  <c r="T9" i="12"/>
  <c r="U9" i="12" s="1"/>
  <c r="Q6" i="12"/>
  <c r="T6" i="12" s="1"/>
  <c r="C11" i="12"/>
  <c r="AA5" i="12"/>
  <c r="Y10" i="11"/>
  <c r="AI10" i="11"/>
  <c r="AN10" i="12" s="1"/>
  <c r="AC10" i="11"/>
  <c r="AH10" i="12" s="1"/>
  <c r="AG10" i="11"/>
  <c r="AL10" i="12" s="1"/>
  <c r="Q8" i="12"/>
  <c r="T8" i="12" s="1"/>
  <c r="X3" i="12"/>
  <c r="X9" i="12"/>
  <c r="X8" i="12"/>
  <c r="X7" i="12"/>
  <c r="R10" i="12"/>
  <c r="AM11" i="12"/>
  <c r="S11" i="12"/>
  <c r="G4" i="12"/>
  <c r="K4" i="12"/>
  <c r="G7" i="12"/>
  <c r="G9" i="12"/>
  <c r="K9" i="12"/>
  <c r="O9" i="12" s="1"/>
  <c r="Y9" i="12" s="1"/>
  <c r="G5" i="12"/>
  <c r="B10" i="12"/>
  <c r="Q3" i="12"/>
  <c r="G3" i="12"/>
  <c r="E10" i="12"/>
  <c r="K3" i="12"/>
  <c r="AA3" i="12" s="1"/>
  <c r="D10" i="12"/>
  <c r="S10" i="12"/>
  <c r="C10" i="12"/>
  <c r="P10" i="12"/>
  <c r="Q7" i="12"/>
  <c r="G6" i="12"/>
  <c r="Q4" i="12"/>
  <c r="T4" i="12" s="1"/>
  <c r="Q5" i="12"/>
  <c r="T5" i="12" s="1"/>
  <c r="G8" i="12"/>
  <c r="L11" i="12"/>
  <c r="L12" i="12" s="1"/>
  <c r="E11" i="12"/>
  <c r="AI11" i="12"/>
  <c r="D11" i="12"/>
  <c r="AH10" i="11"/>
  <c r="AM10" i="12"/>
  <c r="B10" i="11"/>
  <c r="AC3" i="12"/>
  <c r="AC10" i="12" s="1"/>
  <c r="Z10" i="11"/>
  <c r="R11" i="12"/>
  <c r="AI3" i="12"/>
  <c r="AD10" i="11"/>
  <c r="B11" i="12"/>
  <c r="AC11" i="12"/>
  <c r="W11" i="12"/>
  <c r="W5" i="12" l="1"/>
  <c r="Z5" i="12"/>
  <c r="Z10" i="12" s="1"/>
  <c r="AD9" i="12"/>
  <c r="AA9" i="12"/>
  <c r="C12" i="12"/>
  <c r="AA11" i="12"/>
  <c r="R12" i="12"/>
  <c r="J4" i="12"/>
  <c r="AB4" i="12" s="1"/>
  <c r="J3" i="12"/>
  <c r="AB3" i="12" s="1"/>
  <c r="AI10" i="12"/>
  <c r="AI12" i="12" s="1"/>
  <c r="X11" i="12"/>
  <c r="Q10" i="12"/>
  <c r="Q11" i="12"/>
  <c r="T7" i="12"/>
  <c r="S12" i="12"/>
  <c r="K11" i="12"/>
  <c r="G11" i="12"/>
  <c r="D12" i="12"/>
  <c r="K10" i="12"/>
  <c r="E12" i="12"/>
  <c r="G10" i="12"/>
  <c r="I7" i="12" s="1"/>
  <c r="B12" i="12"/>
  <c r="AM12" i="12"/>
  <c r="AC12" i="12"/>
  <c r="X5" i="12" l="1"/>
  <c r="X10" i="12" s="1"/>
  <c r="X12" i="12" s="1"/>
  <c r="W10" i="12"/>
  <c r="W12" i="12" s="1"/>
  <c r="AA10" i="12"/>
  <c r="AA12" i="12" s="1"/>
  <c r="Q12" i="12"/>
  <c r="U7" i="12"/>
  <c r="T11" i="12"/>
  <c r="K12" i="12"/>
  <c r="T10" i="12"/>
  <c r="I5" i="12"/>
  <c r="I6" i="12"/>
  <c r="I4" i="12"/>
  <c r="M7" i="12"/>
  <c r="J9" i="12"/>
  <c r="AB9" i="12" s="1"/>
  <c r="I8" i="12"/>
  <c r="U8" i="12" s="1"/>
  <c r="I3" i="12"/>
  <c r="I9" i="12"/>
  <c r="G12" i="12"/>
  <c r="N6" i="12" l="1"/>
  <c r="U6" i="12"/>
  <c r="U11" i="12" s="1"/>
  <c r="T12" i="12"/>
  <c r="N4" i="12"/>
  <c r="Z4" i="12" s="1"/>
  <c r="N5" i="12"/>
  <c r="U5" i="12"/>
  <c r="M5" i="12"/>
  <c r="O7" i="12"/>
  <c r="Y7" i="12" s="1"/>
  <c r="V7" i="12"/>
  <c r="M6" i="12"/>
  <c r="M4" i="12"/>
  <c r="N9" i="12"/>
  <c r="Z9" i="12" s="1"/>
  <c r="N8" i="12"/>
  <c r="Z8" i="12" s="1"/>
  <c r="M8" i="12"/>
  <c r="O8" i="12" s="1"/>
  <c r="N3" i="12"/>
  <c r="Z3" i="12" s="1"/>
  <c r="M3" i="12"/>
  <c r="V3" i="12" s="1"/>
  <c r="J11" i="12"/>
  <c r="J12" i="12" s="1"/>
  <c r="I11" i="12"/>
  <c r="I12" i="12" s="1"/>
  <c r="N7" i="12"/>
  <c r="Z7" i="12" s="1"/>
  <c r="U10" i="12" l="1"/>
  <c r="Z11" i="12"/>
  <c r="AD7" i="12"/>
  <c r="O6" i="12"/>
  <c r="Y6" i="12" s="1"/>
  <c r="V6" i="12"/>
  <c r="O5" i="12"/>
  <c r="Y5" i="12" s="1"/>
  <c r="AD5" i="12" s="1"/>
  <c r="V5" i="12"/>
  <c r="V8" i="12"/>
  <c r="O4" i="12"/>
  <c r="Y4" i="12" s="1"/>
  <c r="AD4" i="12" s="1"/>
  <c r="V4" i="12"/>
  <c r="N11" i="12"/>
  <c r="N10" i="12"/>
  <c r="M10" i="12"/>
  <c r="O3" i="12"/>
  <c r="Y3" i="12" s="1"/>
  <c r="AB11" i="12"/>
  <c r="AB10" i="12"/>
  <c r="M11" i="12"/>
  <c r="U12" i="12" l="1"/>
  <c r="AP10" i="12"/>
  <c r="N12" i="12"/>
  <c r="V10" i="12"/>
  <c r="AD6" i="12"/>
  <c r="M12" i="12"/>
  <c r="Z12" i="12"/>
  <c r="O11" i="12"/>
  <c r="Y8" i="12"/>
  <c r="AD8" i="12" s="1"/>
  <c r="AD3" i="12"/>
  <c r="O10" i="12"/>
  <c r="V11" i="12"/>
  <c r="AB12" i="12"/>
  <c r="AD10" i="12" l="1"/>
  <c r="AE10" i="12" s="1"/>
  <c r="AJ10" i="12" s="1"/>
  <c r="AJ13" i="12" s="1"/>
  <c r="O12" i="12"/>
  <c r="Y10" i="12"/>
  <c r="AD11" i="12"/>
  <c r="Y11" i="12"/>
  <c r="V12" i="12"/>
  <c r="AE13" i="12" l="1"/>
  <c r="AD12" i="12"/>
  <c r="AE14" i="12"/>
  <c r="AJ14" i="12"/>
  <c r="AJ12" i="12" s="1"/>
  <c r="AJ11" i="12" s="1"/>
  <c r="Y12" i="12"/>
  <c r="AE12" i="12" l="1"/>
  <c r="AE11" i="12" s="1"/>
  <c r="AF11" i="12" s="1"/>
  <c r="AK11" i="12" s="1"/>
  <c r="AG11" i="12" l="1"/>
  <c r="AF10" i="12"/>
  <c r="AF14" i="12" s="1"/>
  <c r="AL11" i="12"/>
  <c r="AH11" i="12"/>
  <c r="AH12" i="12" s="1"/>
  <c r="AL12" i="12" l="1"/>
  <c r="AP11" i="12"/>
  <c r="AP12" i="12" s="1"/>
  <c r="AF13" i="12"/>
  <c r="AF12" i="12"/>
  <c r="AK10" i="12"/>
  <c r="AG10" i="12"/>
  <c r="AG12" i="12" s="1"/>
  <c r="AN11" i="12"/>
  <c r="AN12" i="12" s="1"/>
  <c r="AK12" i="12" l="1"/>
</calcChain>
</file>

<file path=xl/sharedStrings.xml><?xml version="1.0" encoding="utf-8"?>
<sst xmlns="http://schemas.openxmlformats.org/spreadsheetml/2006/main" count="395" uniqueCount="202">
  <si>
    <t>Primaire</t>
  </si>
  <si>
    <t>EnR élec</t>
  </si>
  <si>
    <t>Charbon</t>
  </si>
  <si>
    <t>Chaleur</t>
  </si>
  <si>
    <t>Nucléaire</t>
  </si>
  <si>
    <t>TOTAL</t>
  </si>
  <si>
    <t>Electricité</t>
  </si>
  <si>
    <t>Pétrole</t>
  </si>
  <si>
    <t>Royaume-Unis</t>
  </si>
  <si>
    <t>Belgique</t>
  </si>
  <si>
    <t>Allemagne</t>
  </si>
  <si>
    <t>Suisse</t>
  </si>
  <si>
    <t>Italie</t>
  </si>
  <si>
    <t>Espagne</t>
  </si>
  <si>
    <t>Pays exportateurs</t>
  </si>
  <si>
    <t>Electricité importé (TWh)</t>
  </si>
  <si>
    <t>Importations biens et services</t>
  </si>
  <si>
    <t>Coefficient de normalisation :</t>
  </si>
  <si>
    <t>EnR</t>
  </si>
  <si>
    <t>EnR thermiques et déchets</t>
  </si>
  <si>
    <t>Gaz</t>
  </si>
  <si>
    <t>Source d'énergie</t>
  </si>
  <si>
    <t>Importations</t>
  </si>
  <si>
    <t>EnR thermiques</t>
  </si>
  <si>
    <t>Importations électricité</t>
  </si>
  <si>
    <t>Part dédiée électricité</t>
  </si>
  <si>
    <t>Pertes</t>
  </si>
  <si>
    <t>Production électricité réelle avant pertes</t>
  </si>
  <si>
    <t>Production électricité après pertes (réparti proportionnellement)</t>
  </si>
  <si>
    <t>Exportations (hors électricité)</t>
  </si>
  <si>
    <t>Hors électricité</t>
  </si>
  <si>
    <t>(Co)Génération chaleur</t>
  </si>
  <si>
    <t>Soutes internationales</t>
  </si>
  <si>
    <t>Production électricité théorique (facteurs de conversion standards)</t>
  </si>
  <si>
    <t>Conso finale (hors électricité)</t>
  </si>
  <si>
    <t>Consommation finale électricité</t>
  </si>
  <si>
    <t>Taux conversion en électricité théorique</t>
  </si>
  <si>
    <t>Importations primaires totales</t>
  </si>
  <si>
    <t>Consommation finale</t>
  </si>
  <si>
    <t>Importations (hors élec)</t>
  </si>
  <si>
    <t>Importations électricité : équivalent primaire théorique</t>
  </si>
  <si>
    <t>Importations finales hors élec</t>
  </si>
  <si>
    <t>Importations finales totales</t>
  </si>
  <si>
    <t>Production primaire</t>
  </si>
  <si>
    <t>Exportations électricité (énergie finale)</t>
  </si>
  <si>
    <t>Exportations électricité : équivalent énergie primaire</t>
  </si>
  <si>
    <t>Consommation "primaire" d'électricité</t>
  </si>
  <si>
    <t>Consommation hors électricité avant soutes</t>
  </si>
  <si>
    <t>Consommation primaire totale revisitée</t>
  </si>
  <si>
    <t>(en Mtep)</t>
  </si>
  <si>
    <t>(en TWh)</t>
  </si>
  <si>
    <t>Pétrole + Gaz</t>
  </si>
  <si>
    <t>Empreinte énergétique primaire</t>
  </si>
  <si>
    <t>Empreinte énergétique finale</t>
  </si>
  <si>
    <r>
      <t xml:space="preserve">Exportation d'énergie, de biens et services à partir d'énergie FR </t>
    </r>
    <r>
      <rPr>
        <u/>
        <sz val="11"/>
        <color theme="1"/>
        <rFont val="Calibri"/>
        <family val="2"/>
        <scheme val="minor"/>
      </rPr>
      <t>final</t>
    </r>
  </si>
  <si>
    <r>
      <t xml:space="preserve">Exportations d'énergie, de biens et services à partir d'énergie FR </t>
    </r>
    <r>
      <rPr>
        <u/>
        <sz val="11"/>
        <color theme="1"/>
        <rFont val="Calibri"/>
        <family val="2"/>
        <scheme val="minor"/>
      </rPr>
      <t>primaire</t>
    </r>
  </si>
  <si>
    <r>
      <t xml:space="preserve">Importations biens et services, en énergie </t>
    </r>
    <r>
      <rPr>
        <u/>
        <sz val="11"/>
        <color theme="1"/>
        <rFont val="Calibri"/>
        <family val="2"/>
        <scheme val="minor"/>
      </rPr>
      <t>finale</t>
    </r>
  </si>
  <si>
    <r>
      <t xml:space="preserve">Importations biens et services, en énergie finale </t>
    </r>
    <r>
      <rPr>
        <u/>
        <sz val="11"/>
        <color theme="1"/>
        <rFont val="Calibri"/>
        <family val="2"/>
        <scheme val="minor"/>
      </rPr>
      <t>primaire</t>
    </r>
  </si>
  <si>
    <r>
      <t xml:space="preserve">Exportations de biens et services, en énergie </t>
    </r>
    <r>
      <rPr>
        <u/>
        <sz val="11"/>
        <color theme="1"/>
        <rFont val="Calibri"/>
        <family val="2"/>
        <scheme val="minor"/>
      </rPr>
      <t>primaire</t>
    </r>
  </si>
  <si>
    <r>
      <t xml:space="preserve">Exportations de biens et services, en énergie </t>
    </r>
    <r>
      <rPr>
        <u/>
        <sz val="11"/>
        <color theme="1"/>
        <rFont val="Calibri"/>
        <family val="2"/>
        <scheme val="minor"/>
      </rPr>
      <t>finale</t>
    </r>
  </si>
  <si>
    <t>Exportations biens et services</t>
  </si>
  <si>
    <t>Pour des données réelles sur le mix Production et Consommation d'énergie en France, se référer à l'Onglet "Données SDES".</t>
  </si>
  <si>
    <t xml:space="preserve">Coefficient de convertion (Mtep &gt; TWh) + normalisation : </t>
  </si>
  <si>
    <t>Ces données sont normalisées (multipliées par un même coefficient) pour faire correspondre les Données TSP et les Données SDES tout en conservant les proportions entre valeurs chaque base de données. 
La normalisation se fait en alignant la Consommation finale d'énergie en France entre les deux BDD.
L'objectif de ce tableur est :
1) D'estimer la quantité totale d'énergie nécessaire à l'économie française
2) D'estimer la proportion d'énergie décarbonnée parmi cette dépendance.
Pour atteindre cet objectif, le choix a été fait de s'aligner sur la plus faible Consommation finale (ici celle des données TSP, -30TWh par rapport à SDES) pour ne pas sur-évaluer l'empreinte énergétique.</t>
  </si>
  <si>
    <t>Importations d'énergie</t>
  </si>
  <si>
    <r>
      <t xml:space="preserve">Importations biens et services, en énergie </t>
    </r>
    <r>
      <rPr>
        <b/>
        <u/>
        <sz val="11"/>
        <color theme="1"/>
        <rFont val="Calibri"/>
        <family val="2"/>
        <scheme val="minor"/>
      </rPr>
      <t>finale</t>
    </r>
  </si>
  <si>
    <r>
      <t xml:space="preserve">Importations d'énergie, de biens et services, en énergie </t>
    </r>
    <r>
      <rPr>
        <u/>
        <sz val="11"/>
        <color theme="1"/>
        <rFont val="Calibri"/>
        <family val="2"/>
        <scheme val="minor"/>
      </rPr>
      <t>primaire</t>
    </r>
  </si>
  <si>
    <r>
      <t xml:space="preserve">Importations d'énergie, de biens et services, en énergie </t>
    </r>
    <r>
      <rPr>
        <u/>
        <sz val="11"/>
        <color theme="1"/>
        <rFont val="Calibri"/>
        <family val="2"/>
        <scheme val="minor"/>
      </rPr>
      <t>finale</t>
    </r>
  </si>
  <si>
    <t>Part Fossiles</t>
  </si>
  <si>
    <t>Total Fossiles</t>
  </si>
  <si>
    <r>
      <t xml:space="preserve">Conso </t>
    </r>
    <r>
      <rPr>
        <u/>
        <sz val="11"/>
        <color theme="1"/>
        <rFont val="Calibri"/>
        <family val="2"/>
        <scheme val="minor"/>
      </rPr>
      <t>finale</t>
    </r>
    <r>
      <rPr>
        <sz val="11"/>
        <color theme="1"/>
        <rFont val="Calibri"/>
        <family val="2"/>
        <scheme val="minor"/>
      </rPr>
      <t xml:space="preserve"> (hors électricité)</t>
    </r>
  </si>
  <si>
    <r>
      <t xml:space="preserve">Importations </t>
    </r>
    <r>
      <rPr>
        <b/>
        <u/>
        <sz val="11"/>
        <rFont val="Calibri"/>
        <family val="2"/>
        <scheme val="minor"/>
      </rPr>
      <t>primaires</t>
    </r>
    <r>
      <rPr>
        <b/>
        <sz val="11"/>
        <rFont val="Calibri"/>
        <family val="2"/>
        <scheme val="minor"/>
      </rPr>
      <t xml:space="preserve"> totales</t>
    </r>
  </si>
  <si>
    <r>
      <t xml:space="preserve">Exportations de biens et services, en énergie </t>
    </r>
    <r>
      <rPr>
        <b/>
        <u/>
        <sz val="11"/>
        <color theme="1"/>
        <rFont val="Calibri"/>
        <family val="2"/>
        <scheme val="minor"/>
      </rPr>
      <t>primaire</t>
    </r>
  </si>
  <si>
    <r>
      <t xml:space="preserve">Exportations de biens et services, en énergie </t>
    </r>
    <r>
      <rPr>
        <b/>
        <u/>
        <sz val="11"/>
        <color theme="1"/>
        <rFont val="Calibri"/>
        <family val="2"/>
        <scheme val="minor"/>
      </rPr>
      <t>finale</t>
    </r>
  </si>
  <si>
    <t xml:space="preserve">Min Part fossiles </t>
  </si>
  <si>
    <t>Max Part fossile</t>
  </si>
  <si>
    <t>Empreinte énergétique</t>
  </si>
  <si>
    <t>Energie Primaire</t>
  </si>
  <si>
    <r>
      <t xml:space="preserve">Importations </t>
    </r>
    <r>
      <rPr>
        <u/>
        <sz val="11"/>
        <color theme="1"/>
        <rFont val="Calibri"/>
        <family val="2"/>
        <scheme val="minor"/>
      </rPr>
      <t>primaires</t>
    </r>
    <r>
      <rPr>
        <sz val="11"/>
        <color theme="1"/>
        <rFont val="Calibri"/>
        <family val="2"/>
        <scheme val="minor"/>
      </rPr>
      <t xml:space="preserve"> (hors élec)</t>
    </r>
  </si>
  <si>
    <r>
      <t xml:space="preserve">Exportations </t>
    </r>
    <r>
      <rPr>
        <u/>
        <sz val="11"/>
        <color theme="1"/>
        <rFont val="Calibri"/>
        <family val="2"/>
        <scheme val="minor"/>
      </rPr>
      <t>primaires</t>
    </r>
    <r>
      <rPr>
        <sz val="11"/>
        <color theme="1"/>
        <rFont val="Calibri"/>
        <family val="2"/>
        <scheme val="minor"/>
      </rPr>
      <t xml:space="preserve"> (hors électricité)</t>
    </r>
  </si>
  <si>
    <t>&gt;</t>
  </si>
  <si>
    <t>Production électricité après pertes</t>
  </si>
  <si>
    <r>
      <rPr>
        <b/>
        <sz val="11"/>
        <color rgb="FF00B050"/>
        <rFont val="Calibri"/>
        <family val="2"/>
        <scheme val="minor"/>
      </rPr>
      <t>En couleur verte :</t>
    </r>
    <r>
      <rPr>
        <sz val="11"/>
        <rFont val="Calibri"/>
        <family val="2"/>
        <scheme val="minor"/>
      </rPr>
      <t xml:space="preserve">
Données réelles (sans correction des variations climatiques), en Mtep
</t>
    </r>
    <r>
      <rPr>
        <i/>
        <sz val="11"/>
        <rFont val="Calibri"/>
        <family val="2"/>
        <scheme val="minor"/>
      </rPr>
      <t>Source : SDES, Chiffres clés de l'énergie 2019 : Bilan énergétique 2018, p70.</t>
    </r>
  </si>
  <si>
    <r>
      <rPr>
        <b/>
        <sz val="11"/>
        <color theme="1"/>
        <rFont val="Calibri"/>
        <family val="2"/>
        <scheme val="minor"/>
      </rPr>
      <t>En couleur noire :</t>
    </r>
    <r>
      <rPr>
        <sz val="11"/>
        <color theme="1"/>
        <rFont val="Calibri"/>
        <family val="2"/>
        <scheme val="minor"/>
      </rPr>
      <t xml:space="preserve"> Données obtenues à partir des données précédentes par définition des différents termes, sans hypothèse particulière.</t>
    </r>
  </si>
  <si>
    <r>
      <t xml:space="preserve">Importations </t>
    </r>
    <r>
      <rPr>
        <b/>
        <u/>
        <sz val="11"/>
        <color theme="1"/>
        <rFont val="Calibri"/>
        <family val="2"/>
        <scheme val="minor"/>
      </rPr>
      <t>finales</t>
    </r>
    <r>
      <rPr>
        <b/>
        <sz val="11"/>
        <color theme="1"/>
        <rFont val="Calibri"/>
        <family val="2"/>
        <scheme val="minor"/>
      </rPr>
      <t xml:space="preserve"> hors élec</t>
    </r>
  </si>
  <si>
    <r>
      <t xml:space="preserve">Importations </t>
    </r>
    <r>
      <rPr>
        <b/>
        <u/>
        <sz val="11"/>
        <color theme="1"/>
        <rFont val="Calibri"/>
        <family val="2"/>
        <scheme val="minor"/>
      </rPr>
      <t>finales</t>
    </r>
    <r>
      <rPr>
        <b/>
        <sz val="11"/>
        <color theme="1"/>
        <rFont val="Calibri"/>
        <family val="2"/>
        <scheme val="minor"/>
      </rPr>
      <t xml:space="preserve"> totales</t>
    </r>
  </si>
  <si>
    <t>Production finale</t>
  </si>
  <si>
    <r>
      <t xml:space="preserve">Production </t>
    </r>
    <r>
      <rPr>
        <b/>
        <u/>
        <sz val="11"/>
        <color theme="1"/>
        <rFont val="Calibri"/>
        <family val="2"/>
        <scheme val="minor"/>
      </rPr>
      <t>finale</t>
    </r>
  </si>
  <si>
    <r>
      <t xml:space="preserve">Conso </t>
    </r>
    <r>
      <rPr>
        <b/>
        <u/>
        <sz val="11"/>
        <color theme="1"/>
        <rFont val="Calibri"/>
        <family val="2"/>
        <scheme val="minor"/>
      </rPr>
      <t>finale</t>
    </r>
    <r>
      <rPr>
        <b/>
        <sz val="11"/>
        <color theme="1"/>
        <rFont val="Calibri"/>
        <family val="2"/>
        <scheme val="minor"/>
      </rPr>
      <t xml:space="preserve"> (hors électricité)</t>
    </r>
  </si>
  <si>
    <t>Ci-dessus l'empreinte recalculée avec mes données. Peut-on l'utiliser pour affiner nos données ?</t>
  </si>
  <si>
    <r>
      <t xml:space="preserve">Exportations électricité (énergie </t>
    </r>
    <r>
      <rPr>
        <u/>
        <sz val="11"/>
        <rFont val="Calibri"/>
        <family val="2"/>
        <scheme val="minor"/>
      </rPr>
      <t>finale</t>
    </r>
    <r>
      <rPr>
        <sz val="11"/>
        <rFont val="Calibri"/>
        <family val="2"/>
        <scheme val="minor"/>
      </rPr>
      <t>)</t>
    </r>
  </si>
  <si>
    <r>
      <t xml:space="preserve">Exportations électricité (équivalent énergie </t>
    </r>
    <r>
      <rPr>
        <u/>
        <sz val="11"/>
        <rFont val="Calibri"/>
        <family val="2"/>
        <scheme val="minor"/>
      </rPr>
      <t>primaire</t>
    </r>
    <r>
      <rPr>
        <sz val="11"/>
        <rFont val="Calibri"/>
        <family val="2"/>
        <scheme val="minor"/>
      </rPr>
      <t>)</t>
    </r>
  </si>
  <si>
    <r>
      <t xml:space="preserve">Importations électricité (énergie </t>
    </r>
    <r>
      <rPr>
        <u/>
        <sz val="11"/>
        <rFont val="Calibri"/>
        <family val="2"/>
        <scheme val="minor"/>
      </rPr>
      <t>finale</t>
    </r>
    <r>
      <rPr>
        <sz val="11"/>
        <rFont val="Calibri"/>
        <family val="2"/>
        <scheme val="minor"/>
      </rPr>
      <t>)</t>
    </r>
  </si>
  <si>
    <r>
      <t xml:space="preserve">Importations électricité (équivalent </t>
    </r>
    <r>
      <rPr>
        <u/>
        <sz val="11"/>
        <rFont val="Calibri"/>
        <family val="2"/>
        <scheme val="minor"/>
      </rPr>
      <t xml:space="preserve">primaire </t>
    </r>
    <r>
      <rPr>
        <sz val="11"/>
        <rFont val="Calibri"/>
        <family val="2"/>
        <scheme val="minor"/>
      </rPr>
      <t>théorique)</t>
    </r>
  </si>
  <si>
    <r>
      <t xml:space="preserve">Consommation d'électricité (énergie </t>
    </r>
    <r>
      <rPr>
        <b/>
        <u/>
        <sz val="11"/>
        <rFont val="Calibri"/>
        <family val="2"/>
        <scheme val="minor"/>
      </rPr>
      <t>finale</t>
    </r>
    <r>
      <rPr>
        <b/>
        <sz val="11"/>
        <rFont val="Calibri"/>
        <family val="2"/>
        <scheme val="minor"/>
      </rPr>
      <t>)</t>
    </r>
  </si>
  <si>
    <r>
      <t xml:space="preserve">Consommation  d'électricité (énergie </t>
    </r>
    <r>
      <rPr>
        <b/>
        <u/>
        <sz val="11"/>
        <rFont val="Calibri"/>
        <family val="2"/>
        <scheme val="minor"/>
      </rPr>
      <t>primaire</t>
    </r>
    <r>
      <rPr>
        <b/>
        <sz val="11"/>
        <rFont val="Calibri"/>
        <family val="2"/>
        <scheme val="minor"/>
      </rPr>
      <t xml:space="preserve"> équivalente)</t>
    </r>
  </si>
  <si>
    <t>Part dédiée électricité
(énergie primaire)</t>
  </si>
  <si>
    <t>Utilisaiton des taux de conversions théoriques pour déterminer une part de chaque source d'énergie dans l'électricité final obtenu.</t>
  </si>
  <si>
    <t xml:space="preserve"> </t>
  </si>
  <si>
    <r>
      <t xml:space="preserve">Importations d'énergie </t>
    </r>
    <r>
      <rPr>
        <b/>
        <u/>
        <sz val="11"/>
        <rFont val="Calibri"/>
        <family val="2"/>
        <scheme val="minor"/>
      </rPr>
      <t>finales</t>
    </r>
    <r>
      <rPr>
        <b/>
        <sz val="11"/>
        <rFont val="Calibri"/>
        <family val="2"/>
        <scheme val="minor"/>
      </rPr>
      <t xml:space="preserve"> totales</t>
    </r>
  </si>
  <si>
    <r>
      <t xml:space="preserve">Importations biens et services, en énergie </t>
    </r>
    <r>
      <rPr>
        <b/>
        <u/>
        <sz val="11"/>
        <rFont val="Calibri"/>
        <family val="2"/>
        <scheme val="minor"/>
      </rPr>
      <t>primaire</t>
    </r>
  </si>
  <si>
    <t>Coefficient de normalisation 1 :</t>
  </si>
  <si>
    <t>Coefficient de normalisation 2 :</t>
  </si>
  <si>
    <t>Bienvenue dans le tableur sur lequel s'appuient les graphiques et données présentées dans la note intermédiaires sur la souveraineté énergétique !</t>
  </si>
  <si>
    <t>NOTE INTERMÉDIAIRE - La souveraineté par la décarbonation, The Shift Project (22/04/2025)</t>
  </si>
  <si>
    <r>
      <rPr>
        <b/>
        <u/>
        <sz val="11"/>
        <color rgb="FFFF0000"/>
        <rFont val="Calibri"/>
        <family val="2"/>
        <scheme val="minor"/>
      </rPr>
      <t>Warning : version intermédiaire</t>
    </r>
    <r>
      <rPr>
        <b/>
        <sz val="11"/>
        <color theme="1"/>
        <rFont val="Calibri"/>
        <family val="2"/>
        <scheme val="minor"/>
      </rPr>
      <t xml:space="preserve">
Toutes les données et leur utilisation dans ce tableur sont le fruit d'un travail exploratoire dans sa version intermédiaire. Ces données sont susceptibles d'évoluer d'ici à la version finale de la note correspondante.
Pour nous permettre de consolider nos résultats, vos retours seront appréciés. Nous sommes tout particulièrement preneurs de données complémentaires qui consolideraient celles proposées ici. De même, vos retours pour challenger ou consolider nos hypothèses seront particulièrement appréciées.</t>
    </r>
  </si>
  <si>
    <t>Contact :</t>
  </si>
  <si>
    <t>Théo Wittersheim &lt;theo.wittersheim@theshiftproject.org&gt;</t>
  </si>
  <si>
    <r>
      <rPr>
        <b/>
        <sz val="11"/>
        <color rgb="FF7030A0"/>
        <rFont val="Calibri"/>
        <family val="2"/>
        <scheme val="minor"/>
      </rPr>
      <t>En couleur violette :</t>
    </r>
    <r>
      <rPr>
        <sz val="11"/>
        <color theme="1"/>
        <rFont val="Calibri"/>
        <family val="2"/>
        <scheme val="minor"/>
      </rPr>
      <t xml:space="preserve">
Source complémentaire / hypothèses utilisées pour compléter les données </t>
    </r>
  </si>
  <si>
    <r>
      <rPr>
        <b/>
        <sz val="11"/>
        <color rgb="FF00B050"/>
        <rFont val="Calibri"/>
        <family val="2"/>
        <scheme val="minor"/>
      </rPr>
      <t>En couleur verte :</t>
    </r>
    <r>
      <rPr>
        <sz val="11"/>
        <rFont val="Calibri"/>
        <family val="2"/>
        <scheme val="minor"/>
      </rPr>
      <t xml:space="preserve">
Données réelles (sans correction des variations climatiques), en TWh
</t>
    </r>
    <r>
      <rPr>
        <i/>
        <sz val="11"/>
        <rFont val="Calibri"/>
        <family val="2"/>
        <scheme val="minor"/>
      </rPr>
      <t>Source : SDES, Chiffres clés de l'énergie 2019 : Bilan énergétique 2018, p70.</t>
    </r>
  </si>
  <si>
    <r>
      <rPr>
        <b/>
        <sz val="11"/>
        <color rgb="FF7030A0"/>
        <rFont val="Calibri"/>
        <family val="2"/>
        <scheme val="minor"/>
      </rPr>
      <t>En couleur violette :</t>
    </r>
    <r>
      <rPr>
        <sz val="11"/>
        <color theme="1"/>
        <rFont val="Calibri"/>
        <family val="2"/>
        <scheme val="minor"/>
      </rPr>
      <t xml:space="preserve">
Source complémentaire / hypothèses émises pour compléter les données manquantes
(plus de précisions sont apportées au-dessous de chaque colonne)</t>
    </r>
  </si>
  <si>
    <t>Code couleur dans le tableur :</t>
  </si>
  <si>
    <r>
      <rPr>
        <b/>
        <sz val="11"/>
        <color rgb="FF00B050"/>
        <rFont val="Calibri"/>
        <family val="2"/>
        <scheme val="minor"/>
      </rPr>
      <t>En police verte</t>
    </r>
    <r>
      <rPr>
        <b/>
        <sz val="11"/>
        <color theme="1"/>
        <rFont val="Calibri"/>
        <family val="2"/>
        <scheme val="minor"/>
      </rPr>
      <t xml:space="preserve"> :</t>
    </r>
    <r>
      <rPr>
        <sz val="11"/>
        <color theme="1"/>
        <rFont val="Calibri"/>
        <family val="2"/>
        <scheme val="minor"/>
      </rPr>
      <t xml:space="preserve">
Données réelles (sans correction des variations climatiques), en TWh
Source : SDES, Chiffres clés de l'énergie 2019 : Bilan énergétique 2018, p70.</t>
    </r>
  </si>
  <si>
    <r>
      <rPr>
        <b/>
        <sz val="11"/>
        <color rgb="FF7030A0"/>
        <rFont val="Calibri"/>
        <family val="2"/>
        <scheme val="minor"/>
      </rPr>
      <t>En police violette :</t>
    </r>
    <r>
      <rPr>
        <sz val="11"/>
        <color theme="1"/>
        <rFont val="Calibri"/>
        <family val="2"/>
        <scheme val="minor"/>
      </rPr>
      <t xml:space="preserve">
Source complémentaire / hypothèses émises pour compléter les données manquantes
(plus de précisions sont apportées au-dessous de chaque colonne)</t>
    </r>
  </si>
  <si>
    <r>
      <rPr>
        <b/>
        <sz val="11"/>
        <color theme="1"/>
        <rFont val="Calibri"/>
        <family val="2"/>
        <scheme val="minor"/>
      </rPr>
      <t>En police noire :</t>
    </r>
    <r>
      <rPr>
        <sz val="11"/>
        <color theme="1"/>
        <rFont val="Calibri"/>
        <family val="2"/>
        <scheme val="minor"/>
      </rPr>
      <t xml:space="preserve"> 
Données obtenues à partir des données précédentes par définition des différents termes, sans hypothèse particulière.</t>
    </r>
  </si>
  <si>
    <r>
      <rPr>
        <b/>
        <sz val="11"/>
        <color theme="1"/>
        <rFont val="Calibri"/>
        <family val="2"/>
        <scheme val="minor"/>
      </rPr>
      <t>Confirmation :</t>
    </r>
    <r>
      <rPr>
        <sz val="11"/>
        <color theme="1"/>
        <rFont val="Calibri"/>
        <family val="2"/>
        <scheme val="minor"/>
      </rPr>
      <t xml:space="preserve"> La différence entre production totale théorique (G10) et production totale réelle (H10) est très faible. Nos coefficients de conversion (colonne F) semblent donc assez fiables.</t>
    </r>
  </si>
  <si>
    <r>
      <rPr>
        <b/>
        <sz val="11"/>
        <color theme="1"/>
        <rFont val="Calibri"/>
        <family val="2"/>
        <scheme val="minor"/>
      </rPr>
      <t>Hypothèse</t>
    </r>
    <r>
      <rPr>
        <sz val="11"/>
        <color theme="1"/>
        <rFont val="Calibri"/>
        <family val="2"/>
        <scheme val="minor"/>
      </rPr>
      <t xml:space="preserve"> (haute confiance) : Les pertes sont réparties propotionnellement entre chaque source d'énergie (selon la répartition théorique de la production (colonne G)).</t>
    </r>
  </si>
  <si>
    <r>
      <rPr>
        <b/>
        <sz val="11"/>
        <color theme="1"/>
        <rFont val="Calibri"/>
        <family val="2"/>
        <scheme val="minor"/>
      </rPr>
      <t>Hypothèse</t>
    </r>
    <r>
      <rPr>
        <sz val="11"/>
        <color theme="1"/>
        <rFont val="Calibri"/>
        <family val="2"/>
        <scheme val="minor"/>
      </rPr>
      <t xml:space="preserve"> (confiance moyenne) : Taux de conversion standards pour les technologies actuelles.
</t>
    </r>
    <r>
      <rPr>
        <sz val="11"/>
        <color rgb="FFFF0000"/>
        <rFont val="Calibri"/>
        <family val="2"/>
        <scheme val="minor"/>
      </rPr>
      <t>Toute données sur les taux de conversion réels observés en France nous serait utile.
Notamment concernant le taux de conversion des EnR thermiques et les énergies fossiles mobilisées pour la production française d'électricité.</t>
    </r>
  </si>
  <si>
    <r>
      <rPr>
        <b/>
        <sz val="11"/>
        <color theme="1"/>
        <rFont val="Calibri"/>
        <family val="2"/>
        <scheme val="minor"/>
      </rPr>
      <t>Hypothèses</t>
    </r>
    <r>
      <rPr>
        <sz val="11"/>
        <color theme="1"/>
        <rFont val="Calibri"/>
        <family val="2"/>
        <scheme val="minor"/>
      </rPr>
      <t xml:space="preserve"> (haute confiance) : 
- Les énergies fossiles et les EnR thermiques sont retirées des sources mobilisées pour produire lors des périodes d'export.
- Les pertes sont réparties proportionnellement les exportations entre  chaque source d'énergie restant (selon la répartition théorique de la production (colonne G)).
</t>
    </r>
    <r>
      <rPr>
        <sz val="11"/>
        <color rgb="FFFF0000"/>
        <rFont val="Calibri"/>
        <family val="2"/>
        <scheme val="minor"/>
      </rPr>
      <t>Des données précises de RTE/Electricty Map sur les sources d'énergies mobilisées pour produire l'électricité exporté pourrait être utiles.</t>
    </r>
  </si>
  <si>
    <r>
      <rPr>
        <b/>
        <sz val="11"/>
        <color theme="1"/>
        <rFont val="Calibri"/>
        <family val="2"/>
        <scheme val="minor"/>
      </rPr>
      <t>Hypothèse</t>
    </r>
    <r>
      <rPr>
        <sz val="11"/>
        <color theme="1"/>
        <rFont val="Calibri"/>
        <family val="2"/>
        <scheme val="minor"/>
      </rPr>
      <t xml:space="preserve"> (haute confiance) : La part de la production finale dédiée aux exportations (I/J) et on l'applique à la production primatime (E).
</t>
    </r>
    <r>
      <rPr>
        <sz val="11"/>
        <color rgb="FFFF0000"/>
        <rFont val="Calibri"/>
        <family val="2"/>
        <scheme val="minor"/>
      </rPr>
      <t xml:space="preserve">Des données concernant les pertes propres aux consommateurs français (l' "écart statistique") pourraient être utiles pour ne pas les comptabiliser aux exportations en primaire.
</t>
    </r>
    <r>
      <rPr>
        <sz val="11"/>
        <color theme="1"/>
        <rFont val="Calibri"/>
        <family val="2"/>
        <scheme val="minor"/>
      </rPr>
      <t>Si les pertes appliquées aux exportations sont plus faibles, les exportations d'électricité comptabilisées en équivalent primaire seront donc inférieures à celles renseignées ici.</t>
    </r>
  </si>
  <si>
    <r>
      <rPr>
        <b/>
        <sz val="11"/>
        <color rgb="FF00B0F0"/>
        <rFont val="Calibri"/>
        <family val="2"/>
        <scheme val="minor"/>
      </rPr>
      <t>En couleur bleue :</t>
    </r>
    <r>
      <rPr>
        <sz val="11"/>
        <rFont val="Calibri"/>
        <family val="2"/>
        <scheme val="minor"/>
      </rPr>
      <t xml:space="preserve">
Données réelles (sans correction des variations climatiques), en Mtep
</t>
    </r>
    <r>
      <rPr>
        <i/>
        <sz val="11"/>
        <rFont val="Calibri"/>
        <family val="2"/>
        <scheme val="minor"/>
      </rPr>
      <t>Source : Eurostat, mix électrique des pays d'Europe en 2022</t>
    </r>
  </si>
  <si>
    <r>
      <rPr>
        <b/>
        <sz val="11"/>
        <color rgb="FF00B050"/>
        <rFont val="Calibri"/>
        <family val="2"/>
        <scheme val="minor"/>
      </rPr>
      <t>En couleur verte :</t>
    </r>
    <r>
      <rPr>
        <sz val="11"/>
        <rFont val="Calibri"/>
        <family val="2"/>
        <scheme val="minor"/>
      </rPr>
      <t xml:space="preserve">
Données réelles (sans correction des variations climatiques), en TWh
</t>
    </r>
    <r>
      <rPr>
        <i/>
        <sz val="11"/>
        <rFont val="Calibri"/>
        <family val="2"/>
        <scheme val="minor"/>
      </rPr>
      <t>Source : SDES, Séries longues - Bilan énergétique 2019</t>
    </r>
  </si>
  <si>
    <r>
      <rPr>
        <b/>
        <sz val="11"/>
        <rFont val="Calibri"/>
        <family val="2"/>
        <scheme val="minor"/>
      </rPr>
      <t>Hypothèse</t>
    </r>
    <r>
      <rPr>
        <sz val="11"/>
        <rFont val="Calibri"/>
        <family val="2"/>
        <scheme val="minor"/>
      </rPr>
      <t xml:space="preserve"> (confiance moyenne) : On utilise le même taux de conversion théorique et le même taux de pertes que celui utilisé pour la France.
</t>
    </r>
    <r>
      <rPr>
        <b/>
        <sz val="11"/>
        <rFont val="Calibri"/>
        <family val="2"/>
        <scheme val="minor"/>
      </rPr>
      <t>Remarque</t>
    </r>
    <r>
      <rPr>
        <sz val="11"/>
        <rFont val="Calibri"/>
        <family val="2"/>
        <scheme val="minor"/>
      </rPr>
      <t xml:space="preserve"> : Ici, les ordres de grandeur ne sont pas suffisamment importants pour que l'erreur soit significative en valeur absolue.</t>
    </r>
  </si>
  <si>
    <r>
      <t xml:space="preserve">Consommation </t>
    </r>
    <r>
      <rPr>
        <u/>
        <sz val="11"/>
        <color theme="1"/>
        <rFont val="Calibri"/>
        <family val="2"/>
        <scheme val="minor"/>
      </rPr>
      <t>primaire</t>
    </r>
    <r>
      <rPr>
        <sz val="11"/>
        <color theme="1"/>
        <rFont val="Calibri"/>
        <family val="2"/>
        <scheme val="minor"/>
      </rPr>
      <t xml:space="preserve"> (hors électricité et chaleur)</t>
    </r>
  </si>
  <si>
    <r>
      <t xml:space="preserve">Production énergétique en France (en énergie </t>
    </r>
    <r>
      <rPr>
        <b/>
        <u/>
        <sz val="11"/>
        <color theme="1"/>
        <rFont val="Calibri"/>
        <family val="2"/>
        <scheme val="minor"/>
      </rPr>
      <t>finale)</t>
    </r>
  </si>
  <si>
    <r>
      <rPr>
        <b/>
        <sz val="11"/>
        <color rgb="FF0070C0"/>
        <rFont val="Calibri"/>
        <family val="2"/>
        <scheme val="minor"/>
      </rPr>
      <t>En couleur bleue :</t>
    </r>
    <r>
      <rPr>
        <sz val="11"/>
        <rFont val="Calibri"/>
        <family val="2"/>
        <scheme val="minor"/>
      </rPr>
      <t xml:space="preserve">
Données réelles en énergie primaire (sans correction des variations climatiques), en TWh.
</t>
    </r>
    <r>
      <rPr>
        <i/>
        <sz val="11"/>
        <rFont val="Calibri"/>
        <family val="2"/>
        <scheme val="minor"/>
      </rPr>
      <t>Source : GLORIA Traitement données par The Shift Project</t>
    </r>
  </si>
  <si>
    <r>
      <rPr>
        <b/>
        <sz val="11"/>
        <color theme="5"/>
        <rFont val="Calibri"/>
        <family val="2"/>
        <scheme val="minor"/>
      </rPr>
      <t>En couleur orange :</t>
    </r>
    <r>
      <rPr>
        <sz val="11"/>
        <rFont val="Calibri"/>
        <family val="2"/>
        <scheme val="minor"/>
      </rPr>
      <t xml:space="preserve">
Données réelles en énergie finale (sans correction des variations climatiques), en TWh.
</t>
    </r>
    <r>
      <rPr>
        <i/>
        <sz val="11"/>
        <rFont val="Calibri"/>
        <family val="2"/>
        <scheme val="minor"/>
      </rPr>
      <t>Source : GLORIA, Traitement données par The Shift Project</t>
    </r>
  </si>
  <si>
    <r>
      <rPr>
        <b/>
        <sz val="11"/>
        <color rgb="FF0070C0"/>
        <rFont val="Calibri"/>
        <family val="2"/>
        <scheme val="minor"/>
      </rPr>
      <t>En couleur bleue :</t>
    </r>
    <r>
      <rPr>
        <sz val="11"/>
        <rFont val="Calibri"/>
        <family val="2"/>
        <scheme val="minor"/>
      </rPr>
      <t xml:space="preserve">
Données réelles en énergie primaire (sans correction des variations climatiques), en TWh.
</t>
    </r>
    <r>
      <rPr>
        <i/>
        <sz val="11"/>
        <rFont val="Calibri"/>
        <family val="2"/>
        <scheme val="minor"/>
      </rPr>
      <t>Source : GLORIA, Traitement données par The Shift Project</t>
    </r>
  </si>
  <si>
    <r>
      <t xml:space="preserve">Exportation d'énergie </t>
    </r>
    <r>
      <rPr>
        <b/>
        <u/>
        <sz val="11"/>
        <color theme="1"/>
        <rFont val="Calibri"/>
        <family val="2"/>
        <scheme val="minor"/>
      </rPr>
      <t>primaire</t>
    </r>
  </si>
  <si>
    <r>
      <t xml:space="preserve">Exportation d'énergie </t>
    </r>
    <r>
      <rPr>
        <b/>
        <u/>
        <sz val="11"/>
        <color theme="1"/>
        <rFont val="Calibri"/>
        <family val="2"/>
        <scheme val="minor"/>
      </rPr>
      <t>finale</t>
    </r>
  </si>
  <si>
    <t>Exportations directes d'énergie</t>
  </si>
  <si>
    <r>
      <rPr>
        <b/>
        <sz val="11"/>
        <color rgb="FF002060"/>
        <rFont val="Calibri"/>
        <family val="2"/>
        <scheme val="minor"/>
      </rPr>
      <t>En couleur bleue foncée :</t>
    </r>
    <r>
      <rPr>
        <sz val="11"/>
        <color theme="1"/>
        <rFont val="Calibri"/>
        <family val="2"/>
        <scheme val="minor"/>
      </rPr>
      <t xml:space="preserve"> Les données sur les énergies renouvelables thermiques et les déchets dans la BDD en</t>
    </r>
    <r>
      <rPr>
        <u/>
        <sz val="11"/>
        <color theme="1"/>
        <rFont val="Calibri"/>
        <family val="2"/>
        <scheme val="minor"/>
      </rPr>
      <t xml:space="preserve"> énergie primaire</t>
    </r>
    <r>
      <rPr>
        <sz val="11"/>
        <color theme="1"/>
        <rFont val="Calibri"/>
        <family val="2"/>
        <scheme val="minor"/>
      </rPr>
      <t xml:space="preserve"> ont été recalibrées sur les données du SDES par une multiplication par un facteur x1,5 au niveau mondial + un incrément supplémentaire pour la France (pour corriger le décalage de 100 TWh observé sur la prod primaire d'EnR thermiques et déchets).
</t>
    </r>
    <r>
      <rPr>
        <sz val="11"/>
        <color rgb="FFFF0000"/>
        <rFont val="Calibri"/>
        <family val="2"/>
        <scheme val="minor"/>
      </rPr>
      <t>Toute autre suggestion pour corriger ce décalage de 100 TWh est bienvenue (nous sommes preneur d'idées pour expliquer l'origine de ce décalage).</t>
    </r>
  </si>
  <si>
    <r>
      <rPr>
        <b/>
        <sz val="11"/>
        <color theme="1"/>
        <rFont val="Calibri"/>
        <family val="2"/>
        <scheme val="minor"/>
      </rPr>
      <t>Détails</t>
    </r>
    <r>
      <rPr>
        <sz val="11"/>
        <color theme="1"/>
        <rFont val="Calibri"/>
        <family val="2"/>
        <scheme val="minor"/>
      </rPr>
      <t xml:space="preserve"> : Afin de ne pas surestimer mécaniquement la part des énergies fossiles, un coefficient de x1,5 est appliqué aux valeurs en d'EnR thermiques et déchets à l'échelle mondiale. Ce coefficient x1,5 correspond à un moyenne mondiale du rapport entre les données de l'AIE et celles de la BDD Gloria. Parmi les plus gros d'énergie au monde, le facteur x2 est le plus important observé dans certains pays. La valeur réelle de ce coefficient dépend de pays en pays et semble en moyenne comprise entre 1 et 2 (pour les pays s'appuyant le plus sur les EnR thermiques et les déchets), d'où la moyenne arbitraoire de x1,5.
Pour la France, le coefficient observé est plutôt de l'ordre de x2, la correction est donc affinée à l'échelle nationale.</t>
    </r>
  </si>
  <si>
    <t>Coefficient multiplicateur EnR thermiques et déchets (énergie primaire), échelle monde  :</t>
  </si>
  <si>
    <t>Coefficient multiplicateur EnR thermiques et déchets (énergie primaire), échelle France  :</t>
  </si>
  <si>
    <r>
      <t xml:space="preserve">Exportation BSE (énergie, de biens et services) à partir d'énergie FR </t>
    </r>
    <r>
      <rPr>
        <b/>
        <u/>
        <sz val="11"/>
        <rFont val="Calibri"/>
        <family val="2"/>
        <scheme val="minor"/>
      </rPr>
      <t>final</t>
    </r>
  </si>
  <si>
    <r>
      <t xml:space="preserve">Exportations BSE (énergie, de biens et services) à partir d'énergie FR </t>
    </r>
    <r>
      <rPr>
        <b/>
        <u/>
        <sz val="11"/>
        <color theme="1"/>
        <rFont val="Calibri"/>
        <family val="2"/>
        <scheme val="minor"/>
      </rPr>
      <t>primaire</t>
    </r>
  </si>
  <si>
    <r>
      <t xml:space="preserve">Exportations BS (biens et services) produits à partir d'énergie non-FR </t>
    </r>
    <r>
      <rPr>
        <u/>
        <sz val="11"/>
        <color theme="1"/>
        <rFont val="Calibri"/>
        <family val="2"/>
        <scheme val="minor"/>
      </rPr>
      <t>primaire</t>
    </r>
  </si>
  <si>
    <r>
      <t xml:space="preserve">Exportations BS (biens et services) produits à partir d'énergie non-FR </t>
    </r>
    <r>
      <rPr>
        <u/>
        <sz val="11"/>
        <color theme="1"/>
        <rFont val="Calibri"/>
        <family val="2"/>
        <scheme val="minor"/>
      </rPr>
      <t>finale</t>
    </r>
  </si>
  <si>
    <r>
      <rPr>
        <b/>
        <sz val="11"/>
        <color theme="1"/>
        <rFont val="Calibri"/>
        <family val="2"/>
        <scheme val="minor"/>
      </rPr>
      <t>Hypothèse</t>
    </r>
    <r>
      <rPr>
        <sz val="11"/>
        <color theme="1"/>
        <rFont val="Calibri"/>
        <family val="2"/>
        <scheme val="minor"/>
      </rPr>
      <t xml:space="preserve"> </t>
    </r>
    <r>
      <rPr>
        <b/>
        <sz val="11"/>
        <color theme="1"/>
        <rFont val="Calibri"/>
        <family val="2"/>
        <scheme val="minor"/>
      </rPr>
      <t>(</t>
    </r>
    <r>
      <rPr>
        <sz val="11"/>
        <color theme="1"/>
        <rFont val="Calibri"/>
        <family val="2"/>
        <scheme val="minor"/>
      </rPr>
      <t>confiance moyenne</t>
    </r>
    <r>
      <rPr>
        <b/>
        <sz val="11"/>
        <color theme="1"/>
        <rFont val="Calibri"/>
        <family val="2"/>
        <scheme val="minor"/>
      </rPr>
      <t>)</t>
    </r>
    <r>
      <rPr>
        <sz val="11"/>
        <color theme="1"/>
        <rFont val="Calibri"/>
        <family val="2"/>
        <scheme val="minor"/>
      </rPr>
      <t xml:space="preserve"> : Ici, pour simplifier le raisonnement, on suppose l'égalité suivante :
Conso_finale / Conso_primaire
=
Export-e-b-s_finale / Export-e-b-s_primaire
</t>
    </r>
    <r>
      <rPr>
        <sz val="11"/>
        <color rgb="FFFF0000"/>
        <rFont val="Calibri"/>
        <family val="2"/>
        <scheme val="minor"/>
      </rPr>
      <t>D'autres idées de méthode plus fines nous seraient utiles (ou d'autres données à mobiliser en complément).</t>
    </r>
  </si>
  <si>
    <r>
      <rPr>
        <b/>
        <sz val="11"/>
        <color theme="1"/>
        <rFont val="Calibri"/>
        <family val="2"/>
        <scheme val="minor"/>
      </rPr>
      <t>Déduction de données</t>
    </r>
    <r>
      <rPr>
        <sz val="11"/>
        <color theme="1"/>
        <rFont val="Calibri"/>
        <family val="2"/>
        <scheme val="minor"/>
      </rPr>
      <t xml:space="preserve"> : On déduit les exportations de biens et de services (manquantes) à partir des données dont on dispose :
+ Export </t>
    </r>
    <r>
      <rPr>
        <u/>
        <sz val="11"/>
        <color theme="1"/>
        <rFont val="Calibri"/>
        <family val="2"/>
        <scheme val="minor"/>
      </rPr>
      <t>énergie</t>
    </r>
    <r>
      <rPr>
        <sz val="11"/>
        <color theme="1"/>
        <rFont val="Calibri"/>
        <family val="2"/>
        <scheme val="minor"/>
      </rPr>
      <t xml:space="preserve">, </t>
    </r>
    <r>
      <rPr>
        <i/>
        <sz val="11"/>
        <color theme="1"/>
        <rFont val="Calibri"/>
        <family val="2"/>
        <scheme val="minor"/>
      </rPr>
      <t>biens et services</t>
    </r>
    <r>
      <rPr>
        <sz val="11"/>
        <color theme="1"/>
        <rFont val="Calibri"/>
        <family val="2"/>
        <scheme val="minor"/>
      </rPr>
      <t xml:space="preserve"> produit à partir d'énergie FR
- Export </t>
    </r>
    <r>
      <rPr>
        <u/>
        <sz val="11"/>
        <color theme="1"/>
        <rFont val="Calibri"/>
        <family val="2"/>
        <scheme val="minor"/>
      </rPr>
      <t>énergie</t>
    </r>
    <r>
      <rPr>
        <sz val="11"/>
        <color theme="1"/>
        <rFont val="Calibri"/>
        <family val="2"/>
        <scheme val="minor"/>
      </rPr>
      <t xml:space="preserve"> FR
+ Export </t>
    </r>
    <r>
      <rPr>
        <i/>
        <sz val="11"/>
        <color theme="1"/>
        <rFont val="Calibri"/>
        <family val="2"/>
        <scheme val="minor"/>
      </rPr>
      <t>biens et services</t>
    </r>
    <r>
      <rPr>
        <sz val="11"/>
        <color theme="1"/>
        <rFont val="Calibri"/>
        <family val="2"/>
        <scheme val="minor"/>
      </rPr>
      <t xml:space="preserve"> à partir d'énergie non-FR</t>
    </r>
  </si>
  <si>
    <r>
      <t xml:space="preserve">Exportations BS (biens et services) totales, en énergie </t>
    </r>
    <r>
      <rPr>
        <b/>
        <u/>
        <sz val="11"/>
        <color theme="1"/>
        <rFont val="Calibri"/>
        <family val="2"/>
        <scheme val="minor"/>
      </rPr>
      <t>primaire</t>
    </r>
  </si>
  <si>
    <r>
      <t xml:space="preserve">Exportations BS (biens et services) totales, en énergie </t>
    </r>
    <r>
      <rPr>
        <b/>
        <u/>
        <sz val="11"/>
        <color theme="1"/>
        <rFont val="Calibri"/>
        <family val="2"/>
        <scheme val="minor"/>
      </rPr>
      <t>finale</t>
    </r>
  </si>
  <si>
    <r>
      <t xml:space="preserve">Importations EBS (énergie, biens et services), en énergie </t>
    </r>
    <r>
      <rPr>
        <u/>
        <sz val="11"/>
        <rFont val="Calibri"/>
        <family val="2"/>
        <scheme val="minor"/>
      </rPr>
      <t>primaire</t>
    </r>
    <r>
      <rPr>
        <sz val="11"/>
        <rFont val="Calibri"/>
        <family val="2"/>
        <scheme val="minor"/>
      </rPr>
      <t xml:space="preserve"> </t>
    </r>
    <r>
      <rPr>
        <sz val="8"/>
        <rFont val="Calibri"/>
        <family val="2"/>
        <scheme val="minor"/>
      </rPr>
      <t>(</t>
    </r>
    <r>
      <rPr>
        <b/>
        <sz val="8"/>
        <rFont val="Calibri"/>
        <family val="2"/>
        <scheme val="minor"/>
      </rPr>
      <t>non inclue : l'énergie importée utilisée pour la production de B&amp;S exportés (AK)</t>
    </r>
    <r>
      <rPr>
        <sz val="8"/>
        <rFont val="Calibri"/>
        <family val="2"/>
        <scheme val="minor"/>
      </rPr>
      <t>)</t>
    </r>
  </si>
  <si>
    <r>
      <t xml:space="preserve">Importations EBS (énergie, biens et services), en énergie </t>
    </r>
    <r>
      <rPr>
        <u/>
        <sz val="11"/>
        <color theme="1"/>
        <rFont val="Calibri"/>
        <family val="2"/>
        <scheme val="minor"/>
      </rPr>
      <t>finale</t>
    </r>
  </si>
  <si>
    <r>
      <rPr>
        <b/>
        <sz val="11"/>
        <color rgb="FFFF0000"/>
        <rFont val="Calibri"/>
        <family val="2"/>
        <scheme val="minor"/>
      </rPr>
      <t>Les ordres de gradeur sont les bons, mais une variation de +/-1 % reste possible avec la méthode proposée.</t>
    </r>
    <r>
      <rPr>
        <b/>
        <sz val="11"/>
        <color theme="1"/>
        <rFont val="Calibri"/>
        <family val="2"/>
        <scheme val="minor"/>
      </rPr>
      <t xml:space="preserve">
Difficulté</t>
    </r>
    <r>
      <rPr>
        <sz val="11"/>
        <color theme="1"/>
        <rFont val="Calibri"/>
        <family val="2"/>
        <scheme val="minor"/>
      </rPr>
      <t xml:space="preserve"> : Nous n'avons pas de données sur le mix énergétique non-FR moyen mobilisée dans la production de biens et services exportés. 
</t>
    </r>
    <r>
      <rPr>
        <b/>
        <sz val="11"/>
        <color theme="1"/>
        <rFont val="Calibri"/>
        <family val="2"/>
        <scheme val="minor"/>
      </rPr>
      <t>Méthode</t>
    </r>
    <r>
      <rPr>
        <sz val="11"/>
        <color theme="1"/>
        <rFont val="Calibri"/>
        <family val="2"/>
        <scheme val="minor"/>
      </rPr>
      <t xml:space="preserve"> : On définit un intervalle en y allouant le moins d'énergies fossiles importées possibles (=&gt;94,7% d'énergie fossiles) ou en y allouant autant d'énergies fossiles que possible (ici cela revient à 100% d'énergies fossiles utilisées).
</t>
    </r>
    <r>
      <rPr>
        <b/>
        <sz val="11"/>
        <color theme="1"/>
        <rFont val="Calibri"/>
        <family val="2"/>
        <scheme val="minor"/>
      </rPr>
      <t>Solution</t>
    </r>
    <r>
      <rPr>
        <sz val="11"/>
        <color theme="1"/>
        <rFont val="Calibri"/>
        <family val="2"/>
        <scheme val="minor"/>
      </rPr>
      <t xml:space="preserve"> : L'ordre de grandeur pour la part des énergies fossiles est néanmoins très clair. On prend ici arbitrairement la moyenne entre :
- la part des fossiles dans l'énergie importée (98,2%) 
- la valeur médiane l'intervalle des possibles [94,3%-100%].
</t>
    </r>
    <r>
      <rPr>
        <sz val="11"/>
        <color rgb="FFFF0000"/>
        <rFont val="Calibri"/>
        <family val="2"/>
        <scheme val="minor"/>
      </rPr>
      <t>D'autres idées de méthode plus fines nous seraient utiles (ou d'autres données à mobiliser en complément).</t>
    </r>
  </si>
  <si>
    <r>
      <rPr>
        <b/>
        <sz val="11"/>
        <color rgb="FFFF0000"/>
        <rFont val="Calibri"/>
        <family val="2"/>
        <scheme val="minor"/>
      </rPr>
      <t>Les ordres de gradeur sont les bons, mais une variation de +/-1 % reste possible avec la méthode proposée.</t>
    </r>
    <r>
      <rPr>
        <b/>
        <sz val="11"/>
        <color theme="1"/>
        <rFont val="Calibri"/>
        <family val="2"/>
        <scheme val="minor"/>
      </rPr>
      <t xml:space="preserve">
Difficulté :</t>
    </r>
    <r>
      <rPr>
        <sz val="11"/>
        <color theme="1"/>
        <rFont val="Calibri"/>
        <family val="2"/>
        <scheme val="minor"/>
      </rPr>
      <t xml:space="preserve"> le taux primaire &gt; finale n'est pas forcément le même selon les pays.</t>
    </r>
    <r>
      <rPr>
        <b/>
        <sz val="11"/>
        <color theme="1"/>
        <rFont val="Calibri"/>
        <family val="2"/>
        <scheme val="minor"/>
      </rPr>
      <t xml:space="preserve">
Hypothèse (haute confiance) :</t>
    </r>
    <r>
      <rPr>
        <sz val="11"/>
        <color theme="1"/>
        <rFont val="Calibri"/>
        <family val="2"/>
        <scheme val="minor"/>
      </rPr>
      <t xml:space="preserve"> On utilise les mêmes taux de conversion final &gt; primaire que pour les importations d'énergie.
On utilise 2 taux de conversion, un taux pour les énergies fossiles (cellule AK11) et un taux décarbonné (pour compléter le total dans AK10).
De même : le taux énergies fossiles (AK14) et un taux énergies décarbonnées (AK13). 
</t>
    </r>
    <r>
      <rPr>
        <sz val="11"/>
        <color rgb="FFFF0000"/>
        <rFont val="Calibri"/>
        <family val="2"/>
        <scheme val="minor"/>
      </rPr>
      <t>D'autres idées de méthode plus fines nous seraient utiles (ou d'autres données à mobiliser en complément).</t>
    </r>
  </si>
  <si>
    <r>
      <rPr>
        <b/>
        <sz val="11"/>
        <color rgb="FFFF0000"/>
        <rFont val="Calibri"/>
        <family val="2"/>
        <scheme val="minor"/>
      </rPr>
      <t xml:space="preserve">La part d'énergies fossiles en énergie finale dans nos importations BS (biens et services) est la plus complexe à déterminer et embarque avec elle le plus d'incertitude de ce calcul.
D'autres idées de méthode plus fines nous seraient utiles (ou d'autres données à mobiliser en complément).
</t>
    </r>
    <r>
      <rPr>
        <b/>
        <sz val="11"/>
        <color theme="1"/>
        <rFont val="Calibri"/>
        <family val="2"/>
        <scheme val="minor"/>
      </rPr>
      <t xml:space="preserve">
Difficulté</t>
    </r>
    <r>
      <rPr>
        <sz val="11"/>
        <color theme="1"/>
        <rFont val="Calibri"/>
        <family val="2"/>
        <scheme val="minor"/>
      </rPr>
      <t xml:space="preserve"> : Non-connaissance des taux de conversion primaire &gt; finale par source d'énergie et </t>
    </r>
    <r>
      <rPr>
        <u/>
        <sz val="11"/>
        <color theme="1"/>
        <rFont val="Calibri"/>
        <family val="2"/>
        <scheme val="minor"/>
      </rPr>
      <t>par pays</t>
    </r>
    <r>
      <rPr>
        <sz val="11"/>
        <color theme="1"/>
        <rFont val="Calibri"/>
        <family val="2"/>
        <scheme val="minor"/>
      </rPr>
      <t xml:space="preserve"> (ils varient selon de nombreux facteurs, infrastructures, technologies, part de production d'électricité, ...).
</t>
    </r>
    <r>
      <rPr>
        <b/>
        <sz val="11"/>
        <color theme="1"/>
        <rFont val="Calibri"/>
        <family val="2"/>
        <scheme val="minor"/>
      </rPr>
      <t xml:space="preserve">Hypothèse </t>
    </r>
    <r>
      <rPr>
        <sz val="11"/>
        <color theme="1"/>
        <rFont val="Calibri"/>
        <family val="2"/>
        <scheme val="minor"/>
      </rPr>
      <t xml:space="preserve">: Les taux de conversion en électricité pour le nucléaire et le renouvelables électriques sont supposés assez uniformes à travers le monde. 
Les inconnues sur les énergies décarbonnées sont principalement : 
1) Les pertes, usages internes et pertes non techniques sur le réseau électrique
2) La part d'EnR thermiques et déchets convertis en électricité (avec de grosses pertes).
</t>
    </r>
    <r>
      <rPr>
        <b/>
        <sz val="11"/>
        <color theme="1"/>
        <rFont val="Calibri"/>
        <family val="2"/>
        <scheme val="minor"/>
      </rPr>
      <t>Méthode</t>
    </r>
    <r>
      <rPr>
        <sz val="11"/>
        <color theme="1"/>
        <rFont val="Calibri"/>
        <family val="2"/>
        <scheme val="minor"/>
      </rPr>
      <t xml:space="preserve"> : Sans meilleure méthode explorée, on prend la valeur de la France.</t>
    </r>
  </si>
  <si>
    <t>Exposition énergétique</t>
  </si>
  <si>
    <r>
      <t xml:space="preserve">Exposition énergétique, en énergie </t>
    </r>
    <r>
      <rPr>
        <u/>
        <sz val="11"/>
        <color theme="1"/>
        <rFont val="Calibri"/>
        <family val="2"/>
        <scheme val="minor"/>
      </rPr>
      <t>finale</t>
    </r>
  </si>
  <si>
    <t>(TWh, 2018, France)</t>
  </si>
  <si>
    <r>
      <rPr>
        <b/>
        <sz val="11"/>
        <color rgb="FFFF0000"/>
        <rFont val="Calibri"/>
        <family val="2"/>
        <scheme val="minor"/>
      </rPr>
      <t>En police rouge</t>
    </r>
    <r>
      <rPr>
        <sz val="11"/>
        <color theme="1"/>
        <rFont val="Calibri"/>
        <family val="2"/>
        <scheme val="minor"/>
      </rPr>
      <t xml:space="preserve"> : 
Principales faiblesses du modèle et </t>
    </r>
    <r>
      <rPr>
        <u/>
        <sz val="11"/>
        <color theme="1"/>
        <rFont val="Calibri"/>
        <family val="2"/>
        <scheme val="minor"/>
      </rPr>
      <t>demande de données supplémentaires qui nous seraient utiles pour gagner en précision.</t>
    </r>
  </si>
  <si>
    <t>Année d'étude : 2018
Périmètre : France (+ pays importateurs et exportateurs vers la France)
Unité : TWh (sauf mention contraire)</t>
  </si>
  <si>
    <r>
      <rPr>
        <u/>
        <sz val="11"/>
        <color theme="1"/>
        <rFont val="Calibri"/>
        <family val="2"/>
        <scheme val="minor"/>
      </rPr>
      <t>Informations sur les données :</t>
    </r>
    <r>
      <rPr>
        <sz val="11"/>
        <color theme="1"/>
        <rFont val="Calibri"/>
        <family val="2"/>
        <scheme val="minor"/>
      </rPr>
      <t xml:space="preserve">
La </t>
    </r>
    <r>
      <rPr>
        <b/>
        <sz val="11"/>
        <color theme="1"/>
        <rFont val="Calibri"/>
        <family val="2"/>
        <scheme val="minor"/>
      </rPr>
      <t>base de données input-output multirégionale GLORIA</t>
    </r>
    <r>
      <rPr>
        <sz val="11"/>
        <color theme="1"/>
        <rFont val="Calibri"/>
        <family val="2"/>
        <scheme val="minor"/>
      </rPr>
      <t xml:space="preserve"> a été utilisée pour chiffrer l'énergie incorporée dans les biens et services importés et exportés par la France. Elle fournit des données en énergie primaire par source d'énergie (nucléaire, EnR, pétrole&amp;gaz, ...) et en énergie finale par secteur de consommation d'énergie, tout au long des chaînes de valeur des biens et services produits ou importés par la France.
A été fait le choix de publier uniquement des </t>
    </r>
    <r>
      <rPr>
        <b/>
        <sz val="11"/>
        <color theme="1"/>
        <rFont val="Calibri"/>
        <family val="2"/>
        <scheme val="minor"/>
      </rPr>
      <t>résultats en énergie finale</t>
    </r>
    <r>
      <rPr>
        <sz val="11"/>
        <color theme="1"/>
        <rFont val="Calibri"/>
        <family val="2"/>
        <scheme val="minor"/>
      </rPr>
      <t xml:space="preserve"> dans la note, considérant l'énergie finale comme davantage pertinente que l'énergie primaire pour ce type d'analyses. Mais le nombre limité de données existantes les données d'empreinte énergétique en énergie finale a complexifié l'analyse. Dans notre cas, la base de donnée GLORIA n'a pas été suffisante pour retracer avec précision l'ensemble de l'utilisation d'énergie par source énergétique.
Différentes données du </t>
    </r>
    <r>
      <rPr>
        <b/>
        <sz val="11"/>
        <color theme="1"/>
        <rFont val="Calibri"/>
        <family val="2"/>
        <scheme val="minor"/>
      </rPr>
      <t>SDES</t>
    </r>
    <r>
      <rPr>
        <sz val="11"/>
        <color theme="1"/>
        <rFont val="Calibri"/>
        <family val="2"/>
        <scheme val="minor"/>
      </rPr>
      <t xml:space="preserve">, principalement les données des </t>
    </r>
    <r>
      <rPr>
        <b/>
        <sz val="11"/>
        <color theme="1"/>
        <rFont val="Calibri"/>
        <family val="2"/>
        <scheme val="minor"/>
      </rPr>
      <t>Chiffres clés de l'énergie</t>
    </r>
    <r>
      <rPr>
        <sz val="11"/>
        <color theme="1"/>
        <rFont val="Calibri"/>
        <family val="2"/>
        <scheme val="minor"/>
      </rPr>
      <t>, ont été mobilisées pour consolider les données sur l'énergie primaire et finale produite et consommée en France. En complément, des données d'</t>
    </r>
    <r>
      <rPr>
        <b/>
        <sz val="11"/>
        <color theme="1"/>
        <rFont val="Calibri"/>
        <family val="2"/>
        <scheme val="minor"/>
      </rPr>
      <t>Eurostat</t>
    </r>
    <r>
      <rPr>
        <sz val="11"/>
        <color theme="1"/>
        <rFont val="Calibri"/>
        <family val="2"/>
        <scheme val="minor"/>
      </rPr>
      <t xml:space="preserve"> ont été mobilisées, sur les mix électriques de différents pays européens et sur les données douanières.
Toute autre source de données sur les importations d'énergie directes (électricité, pétrole, gaz, charbon) et indirectes (sur l'énergie incorporée dans les biens et services importées) peut intéresser le Shift Project pour parfaire ses analyses.
Enfin, la principale base de données utilisée (GLORIA) semble contenir des </t>
    </r>
    <r>
      <rPr>
        <b/>
        <sz val="11"/>
        <color theme="1"/>
        <rFont val="Calibri"/>
        <family val="2"/>
        <scheme val="minor"/>
      </rPr>
      <t>données fiables que jusqu'en 2018</t>
    </r>
    <r>
      <rPr>
        <sz val="11"/>
        <color theme="1"/>
        <rFont val="Calibri"/>
        <family val="2"/>
        <scheme val="minor"/>
      </rPr>
      <t>. De fait, les analyses n'ont pas été possibles au-delà. Là encore, toutes pistes pour disposer de données (notamment de données input-output multirégionales) relatives à des dates plus récentes sont les bienvenues.</t>
    </r>
  </si>
  <si>
    <t>COMMENTAIRES</t>
  </si>
  <si>
    <t>Consommation directe</t>
  </si>
  <si>
    <t>Exposition</t>
  </si>
  <si>
    <r>
      <t xml:space="preserve">Energie importée, (puis transformée ou non) puis réexporté, chiffré en énergie </t>
    </r>
    <r>
      <rPr>
        <u/>
        <sz val="11"/>
        <color theme="1"/>
        <rFont val="Calibri"/>
        <family val="2"/>
        <scheme val="minor"/>
      </rPr>
      <t>finale</t>
    </r>
  </si>
  <si>
    <r>
      <rPr>
        <sz val="11"/>
        <color theme="1"/>
        <rFont val="Calibri"/>
        <family val="2"/>
        <scheme val="minor"/>
      </rPr>
      <t>Remarque : Cette colonne n'est pour le moment pas mobilisée. Pour le calcul mais peut être utilisée en vérification pour vérifier la cohérence d'ensemble. Selon les méthodes de calcul avec les présentes données, elle présente un léger</t>
    </r>
    <r>
      <rPr>
        <sz val="11"/>
        <color rgb="FFFF0000"/>
        <rFont val="Calibri"/>
        <family val="2"/>
        <scheme val="minor"/>
      </rPr>
      <t xml:space="preserve"> décalage, à corriger pour harmoniser l'ensemble</t>
    </r>
    <r>
      <rPr>
        <sz val="11"/>
        <color theme="1"/>
        <rFont val="Calibri"/>
        <family val="2"/>
        <scheme val="minor"/>
      </rPr>
      <t>.</t>
    </r>
  </si>
  <si>
    <r>
      <t xml:space="preserve">Se base sur les données affichées dans le tableau ci-dessous (L20:T28). Les données d'importations par pays en 2018 sont issues des </t>
    </r>
    <r>
      <rPr>
        <sz val="11"/>
        <color rgb="FF00B050"/>
        <rFont val="Calibri"/>
        <family val="2"/>
        <scheme val="minor"/>
      </rPr>
      <t>chiffres clés de l'énergie 2019 (SDES)</t>
    </r>
    <r>
      <rPr>
        <sz val="11"/>
        <color theme="1"/>
        <rFont val="Calibri"/>
        <family val="2"/>
        <scheme val="minor"/>
      </rPr>
      <t>. Le mix électrique des différents pays est issu d'</t>
    </r>
    <r>
      <rPr>
        <sz val="11"/>
        <color rgb="FF00B0F0"/>
        <rFont val="Calibri"/>
        <family val="2"/>
        <scheme val="minor"/>
      </rPr>
      <t>Eurostat (2022)</t>
    </r>
    <r>
      <rPr>
        <sz val="11"/>
        <color theme="1"/>
        <rFont val="Calibri"/>
        <family val="2"/>
        <scheme val="minor"/>
      </rPr>
      <t xml:space="preserve">.
</t>
    </r>
    <r>
      <rPr>
        <b/>
        <sz val="11"/>
        <color theme="1"/>
        <rFont val="Calibri"/>
        <family val="2"/>
        <scheme val="minor"/>
      </rPr>
      <t>Remarque</t>
    </r>
    <r>
      <rPr>
        <sz val="11"/>
        <color theme="1"/>
        <rFont val="Calibri"/>
        <family val="2"/>
        <scheme val="minor"/>
      </rPr>
      <t xml:space="preserve"> : Il est peu probable que les pays nous exportant de l'électricité nous exportent dans la même proportion que leur mix électrique,  chaque source d'énergie ayant son coût.
</t>
    </r>
    <r>
      <rPr>
        <sz val="11"/>
        <color rgb="FFFF0000"/>
        <rFont val="Calibri"/>
        <family val="2"/>
        <scheme val="minor"/>
      </rPr>
      <t>Des données précises de Electricty Map/Eurostat sur les sources d'énergies mobilisées pour produire l'électricité exporté par nos voisins pourrait être utiles.</t>
    </r>
  </si>
  <si>
    <t>Empreinte</t>
  </si>
  <si>
    <t>Charbon et pétrole brut négligés</t>
  </si>
  <si>
    <t>Production Hors électricité</t>
  </si>
  <si>
    <r>
      <t xml:space="preserve">Importations </t>
    </r>
    <r>
      <rPr>
        <u/>
        <sz val="11"/>
        <rFont val="Calibri"/>
        <family val="2"/>
        <scheme val="minor"/>
      </rPr>
      <t>finales</t>
    </r>
    <r>
      <rPr>
        <sz val="11"/>
        <rFont val="Calibri"/>
        <family val="2"/>
        <scheme val="minor"/>
      </rPr>
      <t xml:space="preserve"> (hors élec importé)</t>
    </r>
  </si>
  <si>
    <r>
      <t xml:space="preserve">Production électricité </t>
    </r>
    <r>
      <rPr>
        <sz val="11"/>
        <rFont val="Calibri"/>
        <family val="2"/>
        <scheme val="minor"/>
      </rPr>
      <t>(après pertes réseau, usages internes et écart statistique, répartis proportionnellement)</t>
    </r>
  </si>
  <si>
    <r>
      <t xml:space="preserve">Consommation primaire totale </t>
    </r>
    <r>
      <rPr>
        <sz val="11"/>
        <rFont val="Calibri"/>
        <family val="2"/>
        <scheme val="minor"/>
      </rPr>
      <t>(avec décomposition électricité importé)</t>
    </r>
  </si>
  <si>
    <r>
      <t xml:space="preserve">Consommation finale </t>
    </r>
    <r>
      <rPr>
        <sz val="11"/>
        <rFont val="Calibri"/>
        <family val="2"/>
        <scheme val="minor"/>
      </rPr>
      <t>(avec décomposition électricité importé)</t>
    </r>
  </si>
  <si>
    <r>
      <rPr>
        <b/>
        <sz val="11"/>
        <color theme="1"/>
        <rFont val="Calibri"/>
        <family val="2"/>
        <scheme val="minor"/>
      </rPr>
      <t>Hypothèses</t>
    </r>
    <r>
      <rPr>
        <sz val="11"/>
        <color theme="1"/>
        <rFont val="Calibri"/>
        <family val="2"/>
        <scheme val="minor"/>
      </rPr>
      <t xml:space="preserve"> : 
- Les seules énergies mobilisées lors des exportations </t>
    </r>
    <r>
      <rPr>
        <u/>
        <sz val="11"/>
        <color theme="1"/>
        <rFont val="Calibri"/>
        <family val="2"/>
        <scheme val="minor"/>
      </rPr>
      <t>d'électricité</t>
    </r>
    <r>
      <rPr>
        <sz val="11"/>
        <color theme="1"/>
        <rFont val="Calibri"/>
        <family val="2"/>
        <scheme val="minor"/>
      </rPr>
      <t xml:space="preserve"> sont le nucléaire et EnR (lorsqu'ils sont en surplus pour la consommation nationale)
- Les seules énergies </t>
    </r>
    <r>
      <rPr>
        <u/>
        <sz val="11"/>
        <color theme="1"/>
        <rFont val="Calibri"/>
        <family val="2"/>
        <scheme val="minor"/>
      </rPr>
      <t>hors-électricité</t>
    </r>
    <r>
      <rPr>
        <sz val="11"/>
        <color theme="1"/>
        <rFont val="Calibri"/>
        <family val="2"/>
        <scheme val="minor"/>
      </rPr>
      <t xml:space="preserve"> exportées (parmi les énergies produites en France) sont les EnR thermiques et déchets (6 TWh). 
- </t>
    </r>
    <r>
      <rPr>
        <sz val="11"/>
        <color rgb="FFFF0000"/>
        <rFont val="Calibri"/>
        <family val="2"/>
        <scheme val="minor"/>
      </rPr>
      <t>Hypothèse peu robuste</t>
    </r>
    <r>
      <rPr>
        <sz val="11"/>
        <color theme="1"/>
        <rFont val="Calibri"/>
        <family val="2"/>
        <scheme val="minor"/>
      </rPr>
      <t xml:space="preserve"> : Pour équilibrer le tableau, on donne au EnR thermiques et déchetsla même répartition élec / hors élec que poura la France lors de leur conversion en énergie finale (avec les mêmes pertes.</t>
    </r>
  </si>
  <si>
    <r>
      <rPr>
        <b/>
        <sz val="11"/>
        <color rgb="FFFF0000"/>
        <rFont val="Calibri"/>
        <family val="2"/>
        <scheme val="minor"/>
      </rPr>
      <t>L'hypothèse suivante n'est pas suffisamment robuste (pour toutes énergies thermiques). Mais étant donné les volumes relativement faibles à risque, la marge d'erreur n'excède pas quelques TWh.</t>
    </r>
    <r>
      <rPr>
        <b/>
        <sz val="11"/>
        <color theme="1"/>
        <rFont val="Calibri"/>
        <family val="2"/>
        <scheme val="minor"/>
      </rPr>
      <t xml:space="preserve">
Hypothèse</t>
    </r>
    <r>
      <rPr>
        <sz val="11"/>
        <color theme="1"/>
        <rFont val="Calibri"/>
        <family val="2"/>
        <scheme val="minor"/>
      </rPr>
      <t xml:space="preserve"> (confiance moyenne) : EnR thermiques &amp; déchets, pétrole, gaz, charbon ont le même taux de conversion primaire &gt; finale lorsqu'ils sont importés / exportés (par rapport à leur taux de conversion en étant produit et consommé en France uniquement).
</t>
    </r>
    <r>
      <rPr>
        <sz val="11"/>
        <color rgb="FFFF0000"/>
        <rFont val="Calibri"/>
        <family val="2"/>
        <scheme val="minor"/>
      </rPr>
      <t>Des données plus précises à ce sujet nous seraient utiles pour vérifier la robustesse de ces résultats.</t>
    </r>
  </si>
  <si>
    <t>Production</t>
  </si>
  <si>
    <t>Exportations d'énergie</t>
  </si>
  <si>
    <t>Consommation</t>
  </si>
  <si>
    <t>Exportations de biens et services</t>
  </si>
  <si>
    <t>Importations de biens et services</t>
  </si>
  <si>
    <t>Vide</t>
  </si>
  <si>
    <t>Bas-carbone</t>
  </si>
  <si>
    <t>Fossile</t>
  </si>
  <si>
    <t>Total</t>
  </si>
  <si>
    <t>Production énergétique française (inclut l'énergie directement exportée)</t>
  </si>
  <si>
    <t>Energie importée consommée domestiquement (inclut les biens et services exportés)</t>
  </si>
  <si>
    <t>Energie importée puis réexportée (pétrole brut raffiné, gaz naturel de transit)</t>
  </si>
  <si>
    <t>Biens et services importés (énergie "grise" incorporée)</t>
  </si>
  <si>
    <t>Exposition énergétique de l'économie française</t>
  </si>
  <si>
    <t>% brut non-Europe</t>
  </si>
  <si>
    <t>Source</t>
  </si>
  <si>
    <t>Gaz naturel</t>
  </si>
  <si>
    <t>EnR électrique</t>
  </si>
  <si>
    <t>EnR thermiques et dechets</t>
  </si>
  <si>
    <t>Total (TWh)</t>
  </si>
  <si>
    <t>TOTAL (TWh)</t>
  </si>
  <si>
    <t>SDES (séries longues, bilan énergétique 2019)</t>
  </si>
  <si>
    <t>% non-Europe</t>
  </si>
  <si>
    <t>% Europe (incl. NO, GB...)</t>
  </si>
  <si>
    <t>GLORIA</t>
  </si>
  <si>
    <r>
      <t>IMPORT ENERGIE DIRECT</t>
    </r>
    <r>
      <rPr>
        <sz val="11"/>
        <color theme="1"/>
        <rFont val="Calibri"/>
        <family val="2"/>
        <scheme val="minor"/>
      </rPr>
      <t xml:space="preserve"> (d'où est-elle importée)</t>
    </r>
  </si>
  <si>
    <t>Europe (TWh)</t>
  </si>
  <si>
    <t>non-Europe (TWh)</t>
  </si>
  <si>
    <t>Eurostat (EU trade since 1988, données 2018)</t>
  </si>
  <si>
    <r>
      <t>IMPORT BIENS ET SERVICES</t>
    </r>
    <r>
      <rPr>
        <sz val="11"/>
        <color theme="1"/>
        <rFont val="Calibri"/>
        <family val="2"/>
        <scheme val="minor"/>
      </rPr>
      <t xml:space="preserve"> (d'où sont-ils importés)</t>
    </r>
  </si>
  <si>
    <r>
      <t xml:space="preserve">EXPORT BIENS ET SERVICES </t>
    </r>
    <r>
      <rPr>
        <sz val="11"/>
        <color theme="1"/>
        <rFont val="Calibri"/>
        <family val="2"/>
        <scheme val="minor"/>
      </rPr>
      <t xml:space="preserve"> (où sont-ils exportés)</t>
    </r>
  </si>
  <si>
    <r>
      <t>EXPORT ENERGIE NON-DOMESTIQUE</t>
    </r>
    <r>
      <rPr>
        <sz val="11"/>
        <color theme="1"/>
        <rFont val="Calibri"/>
        <family val="2"/>
        <scheme val="minor"/>
      </rPr>
      <t xml:space="preserve">
</t>
    </r>
    <r>
      <rPr>
        <u/>
        <sz val="11"/>
        <color theme="1"/>
        <rFont val="Calibri"/>
        <family val="2"/>
        <scheme val="minor"/>
      </rPr>
      <t>(d'où est-elle importée)</t>
    </r>
  </si>
  <si>
    <r>
      <t>EXPORT ENERGIE NON-DOMESTIQUE</t>
    </r>
    <r>
      <rPr>
        <sz val="11"/>
        <color theme="1"/>
        <rFont val="Calibri"/>
        <family val="2"/>
        <scheme val="minor"/>
      </rPr>
      <t xml:space="preserve">
</t>
    </r>
    <r>
      <rPr>
        <u/>
        <sz val="11"/>
        <color theme="1"/>
        <rFont val="Calibri"/>
        <family val="2"/>
        <scheme val="minor"/>
      </rPr>
      <t>(où est-elle exportée)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</si>
</sst>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quot;TWh&quot;"/>
  </numFmts>
  <fonts count="33" x14ac:knownFonts="1">
    <font>
      <sz val="11"/>
      <color theme="1"/>
      <name val="Calibri"/>
      <family val="2"/>
      <scheme val="minor"/>
    </font>
    <font>
      <sz val="11"/>
      <color theme="1"/>
      <name val="Calibri"/>
      <family val="2"/>
      <scheme val="minor"/>
    </font>
    <font>
      <sz val="11"/>
      <color rgb="FF00B050"/>
      <name val="Calibri"/>
      <family val="2"/>
      <scheme val="minor"/>
    </font>
    <font>
      <b/>
      <sz val="11"/>
      <color theme="1"/>
      <name val="Calibri"/>
      <family val="2"/>
      <scheme val="minor"/>
    </font>
    <font>
      <sz val="11"/>
      <color rgb="FF0070C0"/>
      <name val="Calibri"/>
      <family val="2"/>
      <scheme val="minor"/>
    </font>
    <font>
      <sz val="10"/>
      <name val="Arial"/>
      <family val="2"/>
    </font>
    <font>
      <sz val="11"/>
      <color indexed="8"/>
      <name val="Calibri"/>
      <family val="2"/>
    </font>
    <font>
      <b/>
      <u/>
      <sz val="11"/>
      <color theme="1"/>
      <name val="Calibri"/>
      <family val="2"/>
      <scheme val="minor"/>
    </font>
    <font>
      <b/>
      <sz val="11"/>
      <color rgb="FF00B050"/>
      <name val="Calibri"/>
      <family val="2"/>
      <scheme val="minor"/>
    </font>
    <font>
      <b/>
      <sz val="11"/>
      <color rgb="FF0070C0"/>
      <name val="Calibri"/>
      <family val="2"/>
      <scheme val="minor"/>
    </font>
    <font>
      <b/>
      <sz val="11"/>
      <name val="Calibri"/>
      <family val="2"/>
      <scheme val="minor"/>
    </font>
    <font>
      <b/>
      <sz val="11"/>
      <color rgb="FFFF0000"/>
      <name val="Calibri"/>
      <family val="2"/>
      <scheme val="minor"/>
    </font>
    <font>
      <i/>
      <sz val="11"/>
      <name val="Calibri"/>
      <family val="2"/>
      <scheme val="minor"/>
    </font>
    <font>
      <i/>
      <sz val="11"/>
      <color theme="1"/>
      <name val="Calibri"/>
      <family val="2"/>
      <scheme val="minor"/>
    </font>
    <font>
      <sz val="11"/>
      <name val="Calibri"/>
      <family val="2"/>
      <scheme val="minor"/>
    </font>
    <font>
      <sz val="11"/>
      <color rgb="FF7030A0"/>
      <name val="Calibri"/>
      <family val="2"/>
      <scheme val="minor"/>
    </font>
    <font>
      <b/>
      <sz val="11"/>
      <color rgb="FF7030A0"/>
      <name val="Calibri"/>
      <family val="2"/>
      <scheme val="minor"/>
    </font>
    <font>
      <sz val="11"/>
      <color rgb="FF000000"/>
      <name val="Calibri"/>
      <family val="2"/>
      <charset val="1"/>
    </font>
    <font>
      <u/>
      <sz val="11"/>
      <color theme="1"/>
      <name val="Calibri"/>
      <family val="2"/>
      <scheme val="minor"/>
    </font>
    <font>
      <b/>
      <sz val="11"/>
      <color theme="5"/>
      <name val="Calibri"/>
      <family val="2"/>
      <scheme val="minor"/>
    </font>
    <font>
      <b/>
      <sz val="11"/>
      <color rgb="FF002060"/>
      <name val="Calibri"/>
      <family val="2"/>
      <scheme val="minor"/>
    </font>
    <font>
      <b/>
      <u/>
      <sz val="11"/>
      <name val="Calibri"/>
      <family val="2"/>
      <scheme val="minor"/>
    </font>
    <font>
      <u/>
      <sz val="11"/>
      <name val="Calibri"/>
      <family val="2"/>
      <scheme val="minor"/>
    </font>
    <font>
      <sz val="11"/>
      <color rgb="FF002060"/>
      <name val="Calibri"/>
      <family val="2"/>
      <scheme val="minor"/>
    </font>
    <font>
      <sz val="11"/>
      <color rgb="FFFF0000"/>
      <name val="Calibri"/>
      <family val="2"/>
      <scheme val="minor"/>
    </font>
    <font>
      <sz val="11"/>
      <color rgb="FF00B0F0"/>
      <name val="Calibri"/>
      <family val="2"/>
      <scheme val="minor"/>
    </font>
    <font>
      <sz val="8"/>
      <name val="Calibri"/>
      <family val="2"/>
      <scheme val="minor"/>
    </font>
    <font>
      <b/>
      <sz val="8"/>
      <name val="Calibri"/>
      <family val="2"/>
      <scheme val="minor"/>
    </font>
    <font>
      <b/>
      <sz val="16"/>
      <color rgb="FF00005B"/>
      <name val="Calibri"/>
      <family val="2"/>
      <scheme val="minor"/>
    </font>
    <font>
      <b/>
      <u/>
      <sz val="11"/>
      <color rgb="FFFF0000"/>
      <name val="Calibri"/>
      <family val="2"/>
      <scheme val="minor"/>
    </font>
    <font>
      <b/>
      <sz val="11"/>
      <color rgb="FF00B0F0"/>
      <name val="Calibri"/>
      <family val="2"/>
      <scheme val="minor"/>
    </font>
    <font>
      <i/>
      <sz val="11"/>
      <color theme="2" tint="-0.249977111117893"/>
      <name val="Calibri"/>
      <family val="2"/>
      <scheme val="minor"/>
    </font>
    <font>
      <i/>
      <sz val="11"/>
      <color theme="2" tint="-0.499984740745262"/>
      <name val="Calibri"/>
      <family val="2"/>
      <scheme val="minor"/>
    </font>
  </fonts>
  <fills count="12">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theme="7"/>
        <bgColor indexed="64"/>
      </patternFill>
    </fill>
    <fill>
      <patternFill patternType="solid">
        <fgColor rgb="FFFF0000"/>
        <bgColor indexed="64"/>
      </patternFill>
    </fill>
    <fill>
      <patternFill patternType="solid">
        <fgColor theme="9"/>
        <bgColor indexed="64"/>
      </patternFill>
    </fill>
    <fill>
      <patternFill patternType="solid">
        <fgColor theme="8"/>
        <bgColor indexed="64"/>
      </patternFill>
    </fill>
    <fill>
      <patternFill patternType="solid">
        <fgColor rgb="FF00B0F0"/>
        <bgColor indexed="64"/>
      </patternFill>
    </fill>
    <fill>
      <patternFill patternType="solid">
        <fgColor theme="6"/>
        <bgColor indexed="64"/>
      </patternFill>
    </fill>
    <fill>
      <patternFill patternType="solid">
        <fgColor rgb="FF00B050"/>
        <bgColor indexed="64"/>
      </patternFill>
    </fill>
    <fill>
      <patternFill patternType="solid">
        <fgColor theme="8" tint="0.79998168889431442"/>
        <bgColor indexed="64"/>
      </patternFill>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1" fillId="0" borderId="0" applyFont="0" applyFill="0" applyBorder="0" applyAlignment="0" applyProtection="0"/>
    <xf numFmtId="0" fontId="5" fillId="0" borderId="0"/>
    <xf numFmtId="0" fontId="6" fillId="0" borderId="0"/>
    <xf numFmtId="0" fontId="17" fillId="0" borderId="0"/>
  </cellStyleXfs>
  <cellXfs count="327">
    <xf numFmtId="0" fontId="0" fillId="0" borderId="0" xfId="0"/>
    <xf numFmtId="0" fontId="0" fillId="0" borderId="0" xfId="0" applyAlignment="1">
      <alignment wrapText="1"/>
    </xf>
    <xf numFmtId="0" fontId="0" fillId="0" borderId="0" xfId="0" applyFill="1"/>
    <xf numFmtId="0" fontId="4" fillId="0" borderId="0" xfId="0" applyFont="1" applyFill="1"/>
    <xf numFmtId="0" fontId="2" fillId="0" borderId="0" xfId="0" applyFont="1"/>
    <xf numFmtId="0" fontId="4" fillId="0" borderId="0" xfId="0" applyFont="1"/>
    <xf numFmtId="0" fontId="3" fillId="0" borderId="0" xfId="0" applyFont="1"/>
    <xf numFmtId="0" fontId="0" fillId="0" borderId="0" xfId="0" applyAlignment="1">
      <alignment horizontal="right"/>
    </xf>
    <xf numFmtId="0" fontId="0" fillId="0" borderId="0" xfId="0" applyBorder="1"/>
    <xf numFmtId="0" fontId="3" fillId="0" borderId="0" xfId="0" applyFont="1" applyAlignment="1">
      <alignment wrapText="1"/>
    </xf>
    <xf numFmtId="0" fontId="3" fillId="0" borderId="0" xfId="0" applyFont="1" applyFill="1"/>
    <xf numFmtId="164" fontId="0" fillId="0" borderId="0" xfId="1" applyNumberFormat="1" applyFont="1"/>
    <xf numFmtId="0" fontId="3" fillId="0" borderId="11" xfId="0" applyFont="1" applyBorder="1"/>
    <xf numFmtId="0" fontId="3" fillId="0" borderId="12" xfId="0" applyFont="1" applyBorder="1"/>
    <xf numFmtId="0" fontId="0" fillId="0" borderId="1" xfId="0" applyBorder="1"/>
    <xf numFmtId="0" fontId="3" fillId="0" borderId="0" xfId="0" applyFont="1" applyFill="1" applyBorder="1"/>
    <xf numFmtId="0" fontId="0" fillId="0" borderId="0" xfId="0" applyFill="1" applyBorder="1"/>
    <xf numFmtId="0" fontId="0" fillId="0" borderId="2" xfId="0" applyBorder="1"/>
    <xf numFmtId="0" fontId="3" fillId="2" borderId="0" xfId="0" applyFont="1" applyFill="1"/>
    <xf numFmtId="0" fontId="3" fillId="2" borderId="12" xfId="0" applyFont="1" applyFill="1" applyBorder="1"/>
    <xf numFmtId="0" fontId="0" fillId="0" borderId="6" xfId="0" applyBorder="1" applyAlignment="1">
      <alignment wrapText="1"/>
    </xf>
    <xf numFmtId="0" fontId="0" fillId="0" borderId="7" xfId="0" applyBorder="1" applyAlignment="1">
      <alignment wrapText="1"/>
    </xf>
    <xf numFmtId="0" fontId="3" fillId="0" borderId="7" xfId="0" applyFont="1" applyBorder="1" applyAlignment="1">
      <alignment wrapText="1"/>
    </xf>
    <xf numFmtId="0" fontId="0" fillId="0" borderId="7" xfId="0" applyFont="1" applyBorder="1" applyAlignment="1">
      <alignment wrapText="1"/>
    </xf>
    <xf numFmtId="0" fontId="3" fillId="2" borderId="7" xfId="0" applyFont="1" applyFill="1" applyBorder="1" applyAlignment="1">
      <alignment wrapText="1"/>
    </xf>
    <xf numFmtId="0" fontId="0" fillId="0" borderId="11" xfId="0" applyBorder="1"/>
    <xf numFmtId="0" fontId="0" fillId="0" borderId="12" xfId="0" applyBorder="1"/>
    <xf numFmtId="0" fontId="3" fillId="0" borderId="7" xfId="0" applyFont="1" applyFill="1" applyBorder="1" applyAlignment="1">
      <alignment wrapText="1"/>
    </xf>
    <xf numFmtId="0" fontId="3" fillId="0" borderId="12" xfId="0" applyFont="1" applyFill="1" applyBorder="1"/>
    <xf numFmtId="0" fontId="0" fillId="6" borderId="12" xfId="0" applyFill="1" applyBorder="1" applyAlignment="1">
      <alignment horizontal="center"/>
    </xf>
    <xf numFmtId="0" fontId="15" fillId="0" borderId="7" xfId="0" applyFont="1" applyBorder="1" applyAlignment="1">
      <alignment wrapText="1"/>
    </xf>
    <xf numFmtId="0" fontId="15" fillId="0" borderId="0" xfId="0" applyFont="1"/>
    <xf numFmtId="0" fontId="16" fillId="0" borderId="12" xfId="0" applyFont="1" applyBorder="1"/>
    <xf numFmtId="0" fontId="10" fillId="0" borderId="12" xfId="0" applyFont="1" applyBorder="1"/>
    <xf numFmtId="0" fontId="16" fillId="0" borderId="0" xfId="0" applyFont="1"/>
    <xf numFmtId="0" fontId="16" fillId="0" borderId="7" xfId="0" applyFont="1" applyBorder="1" applyAlignment="1">
      <alignment wrapText="1"/>
    </xf>
    <xf numFmtId="0" fontId="16" fillId="2" borderId="7" xfId="0" applyFont="1" applyFill="1" applyBorder="1" applyAlignment="1">
      <alignment wrapText="1"/>
    </xf>
    <xf numFmtId="0" fontId="16" fillId="2" borderId="0" xfId="0" applyFont="1" applyFill="1"/>
    <xf numFmtId="0" fontId="16" fillId="2" borderId="12" xfId="0" applyFont="1" applyFill="1" applyBorder="1"/>
    <xf numFmtId="0" fontId="0" fillId="3" borderId="12" xfId="0" applyFill="1" applyBorder="1" applyAlignment="1">
      <alignment horizontal="center"/>
    </xf>
    <xf numFmtId="0" fontId="14" fillId="0" borderId="0" xfId="0" applyFont="1" applyFill="1"/>
    <xf numFmtId="0" fontId="14" fillId="0" borderId="0" xfId="0" applyFont="1" applyFill="1" applyAlignment="1">
      <alignment wrapText="1"/>
    </xf>
    <xf numFmtId="0" fontId="9" fillId="2" borderId="0" xfId="0" applyFont="1" applyFill="1"/>
    <xf numFmtId="0" fontId="9" fillId="2" borderId="12" xfId="0" applyFont="1" applyFill="1" applyBorder="1"/>
    <xf numFmtId="0" fontId="4" fillId="0" borderId="0" xfId="0" applyFont="1" applyAlignment="1">
      <alignment horizontal="left"/>
    </xf>
    <xf numFmtId="0" fontId="9" fillId="0" borderId="12" xfId="0" applyFont="1" applyBorder="1"/>
    <xf numFmtId="0" fontId="19" fillId="2" borderId="12" xfId="0" applyFont="1" applyFill="1" applyBorder="1"/>
    <xf numFmtId="0" fontId="19" fillId="0" borderId="12" xfId="0" applyFont="1" applyBorder="1"/>
    <xf numFmtId="0" fontId="0" fillId="0" borderId="0" xfId="0" quotePrefix="1"/>
    <xf numFmtId="0" fontId="0" fillId="0" borderId="0" xfId="0" applyFont="1"/>
    <xf numFmtId="0" fontId="14" fillId="0" borderId="6" xfId="0" applyFont="1" applyBorder="1" applyAlignment="1">
      <alignment wrapText="1"/>
    </xf>
    <xf numFmtId="0" fontId="10" fillId="2" borderId="7" xfId="0" applyFont="1" applyFill="1" applyBorder="1" applyAlignment="1">
      <alignment wrapText="1"/>
    </xf>
    <xf numFmtId="0" fontId="14" fillId="0" borderId="7" xfId="0" applyFont="1" applyBorder="1" applyAlignment="1">
      <alignment wrapText="1"/>
    </xf>
    <xf numFmtId="0" fontId="10" fillId="0" borderId="7" xfId="0" applyFont="1" applyBorder="1" applyAlignment="1">
      <alignment wrapText="1"/>
    </xf>
    <xf numFmtId="0" fontId="10" fillId="0" borderId="7" xfId="0" applyFont="1" applyFill="1" applyBorder="1" applyAlignment="1">
      <alignment wrapText="1"/>
    </xf>
    <xf numFmtId="0" fontId="14" fillId="0" borderId="0" xfId="0" applyFont="1"/>
    <xf numFmtId="0" fontId="10" fillId="2" borderId="0" xfId="0" applyFont="1" applyFill="1"/>
    <xf numFmtId="0" fontId="14" fillId="2" borderId="0" xfId="0" applyFont="1" applyFill="1"/>
    <xf numFmtId="0" fontId="10" fillId="0" borderId="11" xfId="0" applyFont="1" applyBorder="1"/>
    <xf numFmtId="0" fontId="10" fillId="2" borderId="12" xfId="0" applyFont="1" applyFill="1" applyBorder="1"/>
    <xf numFmtId="0" fontId="10" fillId="0" borderId="12" xfId="0" applyFont="1" applyFill="1" applyBorder="1"/>
    <xf numFmtId="0" fontId="0" fillId="0" borderId="3" xfId="0" applyBorder="1"/>
    <xf numFmtId="0" fontId="0" fillId="0" borderId="8" xfId="0" applyBorder="1"/>
    <xf numFmtId="0" fontId="0" fillId="0" borderId="13" xfId="0" applyBorder="1"/>
    <xf numFmtId="0" fontId="9" fillId="0" borderId="12" xfId="0" applyFont="1" applyFill="1" applyBorder="1"/>
    <xf numFmtId="0" fontId="14" fillId="0" borderId="7" xfId="0" applyFont="1" applyFill="1" applyBorder="1" applyAlignment="1">
      <alignment wrapText="1"/>
    </xf>
    <xf numFmtId="0" fontId="19" fillId="0" borderId="12" xfId="0" applyFont="1" applyFill="1" applyBorder="1"/>
    <xf numFmtId="0" fontId="20" fillId="2" borderId="0" xfId="0" applyFont="1" applyFill="1"/>
    <xf numFmtId="0" fontId="0" fillId="2" borderId="7" xfId="0" applyFill="1" applyBorder="1" applyAlignment="1">
      <alignment wrapText="1"/>
    </xf>
    <xf numFmtId="0" fontId="0" fillId="0" borderId="7" xfId="0" applyFill="1" applyBorder="1" applyAlignment="1">
      <alignment wrapText="1"/>
    </xf>
    <xf numFmtId="0" fontId="0" fillId="0" borderId="7" xfId="0" applyFont="1" applyFill="1" applyBorder="1" applyAlignment="1">
      <alignment wrapText="1"/>
    </xf>
    <xf numFmtId="0" fontId="16" fillId="0" borderId="12" xfId="0" applyFont="1" applyFill="1" applyBorder="1"/>
    <xf numFmtId="0" fontId="3" fillId="0" borderId="6" xfId="0" applyFont="1" applyBorder="1"/>
    <xf numFmtId="164" fontId="3" fillId="0" borderId="7" xfId="1" applyNumberFormat="1" applyFont="1" applyBorder="1"/>
    <xf numFmtId="0" fontId="0" fillId="0" borderId="0" xfId="0" applyBorder="1" applyAlignment="1">
      <alignment horizontal="center"/>
    </xf>
    <xf numFmtId="0" fontId="23" fillId="0" borderId="0" xfId="0" applyFont="1" applyFill="1"/>
    <xf numFmtId="0" fontId="0" fillId="0" borderId="0" xfId="0" applyAlignment="1">
      <alignment vertical="top" wrapText="1"/>
    </xf>
    <xf numFmtId="0" fontId="0" fillId="0" borderId="1" xfId="0" applyFill="1" applyBorder="1"/>
    <xf numFmtId="9" fontId="0" fillId="0" borderId="2" xfId="1" applyFont="1" applyBorder="1"/>
    <xf numFmtId="0" fontId="10" fillId="2" borderId="8" xfId="0" applyFont="1" applyFill="1" applyBorder="1" applyAlignment="1">
      <alignment wrapText="1"/>
    </xf>
    <xf numFmtId="0" fontId="3" fillId="2" borderId="13" xfId="0" applyFont="1" applyFill="1" applyBorder="1"/>
    <xf numFmtId="164" fontId="3" fillId="0" borderId="6" xfId="1" applyNumberFormat="1" applyFont="1" applyBorder="1"/>
    <xf numFmtId="164" fontId="3" fillId="0" borderId="8" xfId="1" applyNumberFormat="1" applyFont="1" applyBorder="1"/>
    <xf numFmtId="9" fontId="0" fillId="0" borderId="1" xfId="1" applyFont="1" applyBorder="1"/>
    <xf numFmtId="9" fontId="0" fillId="0" borderId="3" xfId="1" applyFont="1" applyBorder="1"/>
    <xf numFmtId="9" fontId="0" fillId="0" borderId="6" xfId="1" applyFont="1" applyBorder="1"/>
    <xf numFmtId="9" fontId="0" fillId="0" borderId="8" xfId="1" applyFont="1" applyBorder="1"/>
    <xf numFmtId="0" fontId="3" fillId="2" borderId="6" xfId="0" applyFont="1" applyFill="1" applyBorder="1" applyAlignment="1">
      <alignment wrapText="1"/>
    </xf>
    <xf numFmtId="0" fontId="0" fillId="0" borderId="8" xfId="0" applyFill="1" applyBorder="1" applyAlignment="1">
      <alignment wrapText="1"/>
    </xf>
    <xf numFmtId="0" fontId="3" fillId="2" borderId="8" xfId="0" applyFont="1" applyFill="1" applyBorder="1" applyAlignment="1">
      <alignment wrapText="1"/>
    </xf>
    <xf numFmtId="0" fontId="3" fillId="0" borderId="6" xfId="0" applyFont="1" applyFill="1" applyBorder="1" applyAlignment="1">
      <alignment wrapText="1"/>
    </xf>
    <xf numFmtId="0" fontId="19" fillId="2" borderId="13" xfId="0" applyFont="1" applyFill="1" applyBorder="1"/>
    <xf numFmtId="0" fontId="0" fillId="0" borderId="8" xfId="0" applyFont="1" applyBorder="1" applyAlignment="1">
      <alignment wrapText="1"/>
    </xf>
    <xf numFmtId="0" fontId="3" fillId="0" borderId="13" xfId="0" applyFont="1" applyBorder="1"/>
    <xf numFmtId="0" fontId="0" fillId="2" borderId="3" xfId="0" applyFill="1" applyBorder="1"/>
    <xf numFmtId="0" fontId="0" fillId="2" borderId="1" xfId="0" applyFill="1" applyBorder="1"/>
    <xf numFmtId="0" fontId="0" fillId="2" borderId="2" xfId="0" applyFill="1" applyBorder="1"/>
    <xf numFmtId="164" fontId="3" fillId="2" borderId="8" xfId="1" applyNumberFormat="1" applyFont="1" applyFill="1" applyBorder="1"/>
    <xf numFmtId="164" fontId="3" fillId="2" borderId="7" xfId="1" applyNumberFormat="1" applyFont="1" applyFill="1" applyBorder="1"/>
    <xf numFmtId="9" fontId="0" fillId="2" borderId="3" xfId="1" applyFont="1" applyFill="1" applyBorder="1"/>
    <xf numFmtId="9" fontId="0" fillId="2" borderId="2" xfId="1" applyFont="1" applyFill="1" applyBorder="1"/>
    <xf numFmtId="0" fontId="9" fillId="0" borderId="0" xfId="0" applyFont="1" applyFill="1"/>
    <xf numFmtId="0" fontId="20" fillId="0" borderId="0" xfId="0" applyFont="1" applyFill="1"/>
    <xf numFmtId="164" fontId="16" fillId="0" borderId="7" xfId="1" applyNumberFormat="1" applyFont="1" applyBorder="1"/>
    <xf numFmtId="0" fontId="14" fillId="0" borderId="0" xfId="0" applyFont="1" applyFill="1" applyAlignment="1">
      <alignment vertical="top" wrapText="1"/>
    </xf>
    <xf numFmtId="0" fontId="8" fillId="2" borderId="0" xfId="0" applyFont="1" applyFill="1"/>
    <xf numFmtId="0" fontId="8" fillId="2" borderId="12" xfId="0" applyFont="1" applyFill="1" applyBorder="1"/>
    <xf numFmtId="0" fontId="8" fillId="0" borderId="12" xfId="0" applyFont="1" applyBorder="1"/>
    <xf numFmtId="0" fontId="10" fillId="0" borderId="0" xfId="0" applyFont="1"/>
    <xf numFmtId="0" fontId="10" fillId="0" borderId="0" xfId="0" applyFont="1" applyFill="1" applyBorder="1"/>
    <xf numFmtId="0" fontId="10" fillId="2" borderId="9" xfId="0" applyFont="1" applyFill="1" applyBorder="1"/>
    <xf numFmtId="0" fontId="10" fillId="2" borderId="11" xfId="0" applyFont="1" applyFill="1" applyBorder="1"/>
    <xf numFmtId="0" fontId="10" fillId="2" borderId="13" xfId="0" applyFont="1" applyFill="1" applyBorder="1"/>
    <xf numFmtId="0" fontId="10" fillId="2" borderId="2" xfId="0" applyFont="1" applyFill="1" applyBorder="1"/>
    <xf numFmtId="9" fontId="0" fillId="2" borderId="0" xfId="1" applyFont="1" applyFill="1" applyBorder="1"/>
    <xf numFmtId="10" fontId="3" fillId="2" borderId="6" xfId="1" applyNumberFormat="1" applyFont="1" applyFill="1" applyBorder="1"/>
    <xf numFmtId="10" fontId="3" fillId="2" borderId="8" xfId="1" applyNumberFormat="1" applyFont="1" applyFill="1" applyBorder="1"/>
    <xf numFmtId="164" fontId="10" fillId="0" borderId="7" xfId="1" applyNumberFormat="1" applyFont="1" applyBorder="1"/>
    <xf numFmtId="0" fontId="15" fillId="0" borderId="2" xfId="0" applyFont="1" applyBorder="1"/>
    <xf numFmtId="164" fontId="10" fillId="2" borderId="8" xfId="1" applyNumberFormat="1" applyFont="1" applyFill="1" applyBorder="1"/>
    <xf numFmtId="0" fontId="3" fillId="2" borderId="11" xfId="0" applyFont="1" applyFill="1" applyBorder="1" applyAlignment="1">
      <alignment wrapText="1"/>
    </xf>
    <xf numFmtId="0" fontId="3" fillId="2" borderId="13" xfId="0" applyFont="1" applyFill="1" applyBorder="1" applyAlignment="1">
      <alignment wrapText="1"/>
    </xf>
    <xf numFmtId="164" fontId="10" fillId="2" borderId="6" xfId="1" applyNumberFormat="1" applyFont="1" applyFill="1" applyBorder="1"/>
    <xf numFmtId="9" fontId="0" fillId="0" borderId="1" xfId="1" applyFont="1" applyFill="1" applyBorder="1"/>
    <xf numFmtId="9" fontId="0" fillId="0" borderId="3" xfId="1" applyFont="1" applyFill="1" applyBorder="1"/>
    <xf numFmtId="9" fontId="0" fillId="0" borderId="2" xfId="1" applyFont="1" applyFill="1" applyBorder="1"/>
    <xf numFmtId="9" fontId="0" fillId="0" borderId="3" xfId="1" quotePrefix="1" applyFont="1" applyFill="1" applyBorder="1"/>
    <xf numFmtId="0" fontId="0" fillId="0" borderId="0" xfId="0" applyAlignment="1">
      <alignment vertical="top"/>
    </xf>
    <xf numFmtId="0" fontId="14" fillId="0" borderId="2" xfId="0" applyFont="1" applyBorder="1"/>
    <xf numFmtId="0" fontId="14" fillId="0" borderId="3" xfId="0" applyFont="1" applyBorder="1"/>
    <xf numFmtId="0" fontId="14" fillId="0" borderId="1" xfId="0" applyFont="1" applyBorder="1"/>
    <xf numFmtId="164" fontId="10" fillId="0" borderId="8" xfId="1" applyNumberFormat="1" applyFont="1" applyBorder="1"/>
    <xf numFmtId="164" fontId="10" fillId="0" borderId="6" xfId="1" applyNumberFormat="1" applyFont="1" applyBorder="1"/>
    <xf numFmtId="0" fontId="14" fillId="0" borderId="8" xfId="0" applyFont="1" applyBorder="1" applyAlignment="1">
      <alignment wrapText="1"/>
    </xf>
    <xf numFmtId="0" fontId="10" fillId="2" borderId="16" xfId="0" applyFont="1" applyFill="1" applyBorder="1" applyAlignment="1">
      <alignment wrapText="1"/>
    </xf>
    <xf numFmtId="0" fontId="0" fillId="2" borderId="18" xfId="0" applyFill="1" applyBorder="1"/>
    <xf numFmtId="164" fontId="3" fillId="2" borderId="19" xfId="1" applyNumberFormat="1" applyFont="1" applyFill="1" applyBorder="1"/>
    <xf numFmtId="9" fontId="0" fillId="2" borderId="18" xfId="1" applyFont="1" applyFill="1" applyBorder="1"/>
    <xf numFmtId="0" fontId="0" fillId="3" borderId="9" xfId="0" applyFill="1" applyBorder="1" applyAlignment="1">
      <alignment horizontal="center"/>
    </xf>
    <xf numFmtId="0" fontId="0" fillId="2" borderId="14" xfId="0" applyFill="1" applyBorder="1"/>
    <xf numFmtId="164" fontId="3" fillId="2" borderId="15" xfId="1" applyNumberFormat="1" applyFont="1" applyFill="1" applyBorder="1"/>
    <xf numFmtId="9" fontId="0" fillId="2" borderId="14" xfId="1" applyFont="1" applyFill="1" applyBorder="1"/>
    <xf numFmtId="0" fontId="10" fillId="0" borderId="11" xfId="0" applyFont="1" applyFill="1" applyBorder="1"/>
    <xf numFmtId="164" fontId="15" fillId="0" borderId="2" xfId="1" applyNumberFormat="1" applyFont="1" applyBorder="1"/>
    <xf numFmtId="9" fontId="15" fillId="0" borderId="2" xfId="1" applyFont="1" applyBorder="1"/>
    <xf numFmtId="0" fontId="0" fillId="0" borderId="0" xfId="0" applyBorder="1" applyAlignment="1">
      <alignment horizontal="right"/>
    </xf>
    <xf numFmtId="0" fontId="20" fillId="9" borderId="0" xfId="0" applyFont="1" applyFill="1"/>
    <xf numFmtId="2" fontId="2" fillId="0" borderId="0" xfId="0" applyNumberFormat="1" applyFont="1" applyBorder="1"/>
    <xf numFmtId="2" fontId="2" fillId="0" borderId="5" xfId="0" applyNumberFormat="1" applyFont="1" applyBorder="1"/>
    <xf numFmtId="2" fontId="2" fillId="0" borderId="4" xfId="0" applyNumberFormat="1" applyFont="1" applyBorder="1"/>
    <xf numFmtId="2" fontId="15" fillId="0" borderId="0" xfId="0" applyNumberFormat="1" applyFont="1" applyBorder="1"/>
    <xf numFmtId="2" fontId="14" fillId="0" borderId="0" xfId="0" applyNumberFormat="1" applyFont="1" applyBorder="1"/>
    <xf numFmtId="2" fontId="0" fillId="0" borderId="0" xfId="0" applyNumberFormat="1" applyBorder="1"/>
    <xf numFmtId="2" fontId="15" fillId="0" borderId="0" xfId="0" applyNumberFormat="1" applyFont="1"/>
    <xf numFmtId="2" fontId="15" fillId="0" borderId="0" xfId="0" applyNumberFormat="1" applyFont="1" applyFill="1" applyBorder="1"/>
    <xf numFmtId="2" fontId="0" fillId="0" borderId="4" xfId="0" applyNumberFormat="1" applyBorder="1"/>
    <xf numFmtId="2" fontId="0" fillId="0" borderId="5" xfId="0" applyNumberFormat="1" applyBorder="1"/>
    <xf numFmtId="2" fontId="3" fillId="2" borderId="14" xfId="0" applyNumberFormat="1" applyFont="1" applyFill="1" applyBorder="1"/>
    <xf numFmtId="2" fontId="10" fillId="2" borderId="0" xfId="0" applyNumberFormat="1" applyFont="1" applyFill="1" applyBorder="1"/>
    <xf numFmtId="2" fontId="10" fillId="2" borderId="3" xfId="0" applyNumberFormat="1" applyFont="1" applyFill="1" applyBorder="1"/>
    <xf numFmtId="2" fontId="10" fillId="2" borderId="0" xfId="0" applyNumberFormat="1" applyFont="1" applyFill="1"/>
    <xf numFmtId="2" fontId="3" fillId="2" borderId="17" xfId="0" applyNumberFormat="1" applyFont="1" applyFill="1" applyBorder="1"/>
    <xf numFmtId="2" fontId="4" fillId="0" borderId="0" xfId="0" applyNumberFormat="1" applyFont="1" applyFill="1" applyBorder="1"/>
    <xf numFmtId="2" fontId="14" fillId="0" borderId="5" xfId="0" applyNumberFormat="1" applyFont="1" applyFill="1" applyBorder="1"/>
    <xf numFmtId="2" fontId="11" fillId="2" borderId="4" xfId="0" applyNumberFormat="1" applyFont="1" applyFill="1" applyBorder="1"/>
    <xf numFmtId="2" fontId="10" fillId="2" borderId="4" xfId="0" applyNumberFormat="1" applyFont="1" applyFill="1" applyBorder="1"/>
    <xf numFmtId="2" fontId="10" fillId="2" borderId="5" xfId="0" applyNumberFormat="1" applyFont="1" applyFill="1" applyBorder="1"/>
    <xf numFmtId="2" fontId="9" fillId="0" borderId="4" xfId="0" applyNumberFormat="1" applyFont="1" applyFill="1" applyBorder="1"/>
    <xf numFmtId="2" fontId="16" fillId="0" borderId="0" xfId="0" applyNumberFormat="1" applyFont="1" applyFill="1" applyBorder="1"/>
    <xf numFmtId="2" fontId="24" fillId="0" borderId="0" xfId="0" applyNumberFormat="1" applyFont="1" applyFill="1" applyBorder="1"/>
    <xf numFmtId="2" fontId="11" fillId="2" borderId="5" xfId="0" applyNumberFormat="1" applyFont="1" applyFill="1" applyBorder="1"/>
    <xf numFmtId="2" fontId="9" fillId="2" borderId="0" xfId="0" applyNumberFormat="1" applyFont="1" applyFill="1" applyBorder="1"/>
    <xf numFmtId="2" fontId="0" fillId="0" borderId="0" xfId="0" applyNumberFormat="1"/>
    <xf numFmtId="2" fontId="3" fillId="2" borderId="10" xfId="0" applyNumberFormat="1" applyFont="1" applyFill="1" applyBorder="1"/>
    <xf numFmtId="2" fontId="16" fillId="2" borderId="0" xfId="0" applyNumberFormat="1" applyFont="1" applyFill="1" applyBorder="1"/>
    <xf numFmtId="2" fontId="9" fillId="0" borderId="4" xfId="0" applyNumberFormat="1" applyFont="1" applyFill="1" applyBorder="1" applyAlignment="1">
      <alignment vertical="center"/>
    </xf>
    <xf numFmtId="2" fontId="3" fillId="2" borderId="15" xfId="0" applyNumberFormat="1" applyFont="1" applyFill="1" applyBorder="1"/>
    <xf numFmtId="2" fontId="10" fillId="2" borderId="8" xfId="0" applyNumberFormat="1" applyFont="1" applyFill="1" applyBorder="1"/>
    <xf numFmtId="0" fontId="0" fillId="0" borderId="2" xfId="0" applyFill="1" applyBorder="1"/>
    <xf numFmtId="0" fontId="28" fillId="0" borderId="0" xfId="0" applyFont="1"/>
    <xf numFmtId="0" fontId="10" fillId="0" borderId="6" xfId="0" applyFont="1" applyFill="1" applyBorder="1" applyAlignment="1">
      <alignment wrapText="1"/>
    </xf>
    <xf numFmtId="2" fontId="8" fillId="0" borderId="4" xfId="0" applyNumberFormat="1" applyFont="1" applyFill="1" applyBorder="1"/>
    <xf numFmtId="0" fontId="14" fillId="0" borderId="1" xfId="0" applyFont="1" applyFill="1" applyBorder="1"/>
    <xf numFmtId="164" fontId="10" fillId="0" borderId="6" xfId="1" applyNumberFormat="1" applyFont="1" applyFill="1" applyBorder="1"/>
    <xf numFmtId="0" fontId="0" fillId="0" borderId="4" xfId="0" applyBorder="1" applyAlignment="1">
      <alignment wrapText="1"/>
    </xf>
    <xf numFmtId="9" fontId="14" fillId="0" borderId="4" xfId="1" applyFont="1" applyFill="1" applyBorder="1" applyAlignment="1">
      <alignment wrapText="1"/>
    </xf>
    <xf numFmtId="9" fontId="0" fillId="0" borderId="0" xfId="1" applyFont="1" applyBorder="1" applyAlignment="1">
      <alignment wrapText="1"/>
    </xf>
    <xf numFmtId="0" fontId="0" fillId="9" borderId="0" xfId="0" applyFill="1"/>
    <xf numFmtId="0" fontId="0" fillId="0" borderId="0" xfId="0" applyFill="1" applyBorder="1" applyAlignment="1">
      <alignment vertical="top" wrapText="1"/>
    </xf>
    <xf numFmtId="0" fontId="8" fillId="0" borderId="12" xfId="0" applyFont="1" applyFill="1" applyBorder="1"/>
    <xf numFmtId="164" fontId="3" fillId="0" borderId="7" xfId="1" applyNumberFormat="1" applyFont="1" applyFill="1" applyBorder="1"/>
    <xf numFmtId="0" fontId="0" fillId="0" borderId="14" xfId="0" applyFill="1" applyBorder="1"/>
    <xf numFmtId="0" fontId="3" fillId="0" borderId="2" xfId="0" applyFont="1" applyFill="1" applyBorder="1"/>
    <xf numFmtId="0" fontId="3" fillId="0" borderId="3" xfId="0" applyFont="1" applyFill="1" applyBorder="1"/>
    <xf numFmtId="0" fontId="3" fillId="0" borderId="10" xfId="0" applyFont="1" applyFill="1" applyBorder="1"/>
    <xf numFmtId="0" fontId="8" fillId="0" borderId="0" xfId="0" applyFont="1" applyFill="1" applyBorder="1"/>
    <xf numFmtId="0" fontId="0" fillId="0" borderId="10" xfId="0" applyFill="1" applyBorder="1"/>
    <xf numFmtId="0" fontId="25" fillId="0" borderId="0" xfId="0" applyFont="1" applyFill="1" applyBorder="1"/>
    <xf numFmtId="0" fontId="25" fillId="0" borderId="5" xfId="0" applyFont="1" applyFill="1" applyBorder="1"/>
    <xf numFmtId="0" fontId="0" fillId="0" borderId="15" xfId="0" applyFill="1" applyBorder="1"/>
    <xf numFmtId="0" fontId="0" fillId="0" borderId="7" xfId="0" applyFill="1" applyBorder="1"/>
    <xf numFmtId="0" fontId="3" fillId="0" borderId="7" xfId="0" applyFont="1" applyFill="1" applyBorder="1"/>
    <xf numFmtId="0" fontId="25" fillId="0" borderId="7" xfId="0" applyFont="1" applyFill="1" applyBorder="1"/>
    <xf numFmtId="0" fontId="25" fillId="0" borderId="8" xfId="0" applyFont="1" applyFill="1" applyBorder="1"/>
    <xf numFmtId="0" fontId="3" fillId="0" borderId="9" xfId="0" applyFont="1" applyFill="1" applyBorder="1"/>
    <xf numFmtId="0" fontId="3" fillId="0" borderId="13" xfId="0" applyFont="1" applyFill="1" applyBorder="1"/>
    <xf numFmtId="0" fontId="2" fillId="0" borderId="0" xfId="0" applyFont="1" applyFill="1" applyBorder="1"/>
    <xf numFmtId="0" fontId="2" fillId="0" borderId="5" xfId="0" applyFont="1" applyFill="1" applyBorder="1"/>
    <xf numFmtId="2" fontId="0" fillId="0" borderId="0" xfId="0" applyNumberFormat="1" applyFill="1" applyBorder="1"/>
    <xf numFmtId="2" fontId="2" fillId="0" borderId="0" xfId="0" applyNumberFormat="1" applyFont="1" applyFill="1" applyBorder="1"/>
    <xf numFmtId="0" fontId="3" fillId="0" borderId="11" xfId="0" applyFont="1" applyFill="1" applyBorder="1"/>
    <xf numFmtId="0" fontId="3" fillId="2" borderId="15" xfId="0" applyFont="1" applyFill="1" applyBorder="1" applyAlignment="1">
      <alignment wrapText="1"/>
    </xf>
    <xf numFmtId="0" fontId="14" fillId="11" borderId="21" xfId="0" applyFont="1" applyFill="1" applyBorder="1" applyAlignment="1">
      <alignment wrapText="1"/>
    </xf>
    <xf numFmtId="0" fontId="14" fillId="11" borderId="23" xfId="0" applyFont="1" applyFill="1" applyBorder="1" applyAlignment="1">
      <alignment wrapText="1"/>
    </xf>
    <xf numFmtId="0" fontId="14" fillId="11" borderId="24" xfId="0" applyFont="1" applyFill="1" applyBorder="1" applyAlignment="1">
      <alignment wrapText="1"/>
    </xf>
    <xf numFmtId="0" fontId="0" fillId="11" borderId="25" xfId="0" applyFill="1" applyBorder="1" applyAlignment="1">
      <alignment wrapText="1"/>
    </xf>
    <xf numFmtId="0" fontId="14" fillId="11" borderId="26" xfId="0" applyFont="1" applyFill="1" applyBorder="1" applyAlignment="1">
      <alignment wrapText="1"/>
    </xf>
    <xf numFmtId="0" fontId="0" fillId="11" borderId="27" xfId="0" applyFill="1" applyBorder="1"/>
    <xf numFmtId="0" fontId="0" fillId="11" borderId="28" xfId="0" applyFill="1" applyBorder="1" applyAlignment="1">
      <alignment vertical="top" wrapText="1"/>
    </xf>
    <xf numFmtId="0" fontId="0" fillId="11" borderId="29" xfId="0" applyFill="1" applyBorder="1" applyAlignment="1">
      <alignment wrapText="1"/>
    </xf>
    <xf numFmtId="0" fontId="14" fillId="11" borderId="21" xfId="0" applyFont="1" applyFill="1" applyBorder="1" applyAlignment="1">
      <alignment vertical="top" wrapText="1"/>
    </xf>
    <xf numFmtId="0" fontId="0" fillId="11" borderId="22" xfId="0" applyFill="1" applyBorder="1" applyAlignment="1">
      <alignment vertical="top" wrapText="1"/>
    </xf>
    <xf numFmtId="0" fontId="0" fillId="11" borderId="23" xfId="0" applyFill="1" applyBorder="1" applyAlignment="1">
      <alignment vertical="top" wrapText="1"/>
    </xf>
    <xf numFmtId="0" fontId="8" fillId="2" borderId="20" xfId="0" applyFont="1" applyFill="1" applyBorder="1"/>
    <xf numFmtId="2" fontId="14" fillId="0" borderId="3" xfId="0" applyNumberFormat="1" applyFont="1" applyFill="1" applyBorder="1"/>
    <xf numFmtId="2" fontId="14" fillId="0" borderId="8" xfId="0" applyNumberFormat="1" applyFont="1" applyFill="1" applyBorder="1"/>
    <xf numFmtId="0" fontId="10" fillId="2" borderId="11" xfId="0" applyFont="1" applyFill="1" applyBorder="1" applyAlignment="1">
      <alignment wrapText="1"/>
    </xf>
    <xf numFmtId="0" fontId="14" fillId="2" borderId="4" xfId="0" applyFont="1" applyFill="1" applyBorder="1"/>
    <xf numFmtId="0" fontId="14" fillId="2" borderId="5" xfId="0" applyFont="1" applyFill="1" applyBorder="1"/>
    <xf numFmtId="0" fontId="10" fillId="0" borderId="13" xfId="0" applyFont="1" applyFill="1" applyBorder="1"/>
    <xf numFmtId="164" fontId="16" fillId="0" borderId="7" xfId="1" applyNumberFormat="1" applyFont="1" applyFill="1" applyBorder="1"/>
    <xf numFmtId="164" fontId="15" fillId="0" borderId="3" xfId="1" applyNumberFormat="1" applyFont="1" applyFill="1" applyBorder="1"/>
    <xf numFmtId="9" fontId="0" fillId="0" borderId="4" xfId="1" applyFont="1" applyFill="1" applyBorder="1"/>
    <xf numFmtId="9" fontId="0" fillId="0" borderId="0" xfId="1" applyFont="1" applyFill="1" applyBorder="1"/>
    <xf numFmtId="0" fontId="24" fillId="2" borderId="0" xfId="0" applyFont="1" applyFill="1" applyBorder="1"/>
    <xf numFmtId="0" fontId="14" fillId="2" borderId="1" xfId="0" applyFont="1" applyFill="1" applyBorder="1"/>
    <xf numFmtId="164" fontId="3" fillId="2" borderId="6" xfId="1" applyNumberFormat="1" applyFont="1" applyFill="1" applyBorder="1"/>
    <xf numFmtId="9" fontId="14" fillId="0" borderId="5" xfId="1" applyFont="1" applyFill="1" applyBorder="1" applyAlignment="1">
      <alignment wrapText="1"/>
    </xf>
    <xf numFmtId="9" fontId="0" fillId="0" borderId="4" xfId="1" applyFont="1" applyBorder="1"/>
    <xf numFmtId="9" fontId="0" fillId="0" borderId="0" xfId="1" applyFont="1" applyBorder="1"/>
    <xf numFmtId="9" fontId="0" fillId="0" borderId="5" xfId="1" applyFont="1" applyBorder="1"/>
    <xf numFmtId="9" fontId="0" fillId="2" borderId="10" xfId="1" applyFont="1" applyFill="1" applyBorder="1"/>
    <xf numFmtId="9" fontId="0" fillId="2" borderId="5" xfId="1" applyFont="1" applyFill="1" applyBorder="1"/>
    <xf numFmtId="9" fontId="0" fillId="2" borderId="17" xfId="1" applyFont="1" applyFill="1" applyBorder="1"/>
    <xf numFmtId="0" fontId="0" fillId="0" borderId="4" xfId="0" applyBorder="1"/>
    <xf numFmtId="9" fontId="15" fillId="0" borderId="0" xfId="1" applyFont="1" applyBorder="1"/>
    <xf numFmtId="9" fontId="0" fillId="0" borderId="5" xfId="1" applyFont="1" applyFill="1" applyBorder="1"/>
    <xf numFmtId="164" fontId="15" fillId="0" borderId="5" xfId="1" applyNumberFormat="1" applyFont="1" applyFill="1" applyBorder="1"/>
    <xf numFmtId="0" fontId="0" fillId="0" borderId="2" xfId="0" applyBorder="1" applyAlignment="1">
      <alignment vertical="top" wrapText="1"/>
    </xf>
    <xf numFmtId="0" fontId="0" fillId="0" borderId="2" xfId="0" applyFill="1" applyBorder="1" applyAlignment="1">
      <alignment vertical="top" wrapText="1"/>
    </xf>
    <xf numFmtId="0" fontId="14" fillId="0" borderId="2" xfId="0" applyFont="1" applyBorder="1" applyAlignment="1">
      <alignment vertical="top" wrapText="1"/>
    </xf>
    <xf numFmtId="0" fontId="0" fillId="0" borderId="2" xfId="0" applyBorder="1" applyAlignment="1">
      <alignment wrapText="1"/>
    </xf>
    <xf numFmtId="0" fontId="3" fillId="0" borderId="2" xfId="0" applyFont="1" applyBorder="1" applyAlignment="1">
      <alignment vertical="top" wrapText="1"/>
    </xf>
    <xf numFmtId="0" fontId="14" fillId="11" borderId="30" xfId="0" applyFont="1" applyFill="1" applyBorder="1" applyAlignment="1">
      <alignment vertical="top" wrapText="1"/>
    </xf>
    <xf numFmtId="0" fontId="0" fillId="11" borderId="31" xfId="0" applyFill="1" applyBorder="1" applyAlignment="1">
      <alignment vertical="top" wrapText="1"/>
    </xf>
    <xf numFmtId="0" fontId="0" fillId="11" borderId="32" xfId="0" applyFill="1" applyBorder="1" applyAlignment="1">
      <alignment vertical="top" wrapText="1"/>
    </xf>
    <xf numFmtId="0" fontId="0" fillId="10" borderId="11" xfId="0" applyFill="1" applyBorder="1" applyAlignment="1">
      <alignment horizontal="center"/>
    </xf>
    <xf numFmtId="0" fontId="2" fillId="0" borderId="0" xfId="0" applyFont="1" applyFill="1"/>
    <xf numFmtId="0" fontId="0" fillId="0" borderId="8" xfId="0" applyBorder="1" applyAlignment="1">
      <alignment wrapText="1"/>
    </xf>
    <xf numFmtId="2" fontId="3" fillId="0" borderId="11" xfId="0" applyNumberFormat="1" applyFont="1" applyBorder="1"/>
    <xf numFmtId="2" fontId="3" fillId="0" borderId="13" xfId="0" applyNumberFormat="1" applyFont="1" applyBorder="1"/>
    <xf numFmtId="2" fontId="0" fillId="0" borderId="2" xfId="0" applyNumberFormat="1" applyBorder="1" applyAlignment="1">
      <alignment vertical="top" wrapText="1"/>
    </xf>
    <xf numFmtId="10" fontId="3" fillId="0" borderId="7" xfId="1" applyNumberFormat="1" applyFont="1" applyBorder="1"/>
    <xf numFmtId="0" fontId="0" fillId="0" borderId="12" xfId="0" applyFont="1" applyBorder="1" applyAlignment="1">
      <alignment vertical="top" wrapText="1"/>
    </xf>
    <xf numFmtId="2" fontId="3" fillId="2" borderId="20" xfId="0" applyNumberFormat="1" applyFont="1" applyFill="1" applyBorder="1"/>
    <xf numFmtId="0" fontId="31" fillId="0" borderId="0" xfId="0" applyFont="1"/>
    <xf numFmtId="165" fontId="32" fillId="0" borderId="0" xfId="0" applyNumberFormat="1" applyFont="1"/>
    <xf numFmtId="9" fontId="0" fillId="0" borderId="0" xfId="1" applyFont="1"/>
    <xf numFmtId="165" fontId="31" fillId="0" borderId="0" xfId="0" applyNumberFormat="1" applyFont="1"/>
    <xf numFmtId="9" fontId="0" fillId="0" borderId="0" xfId="1" applyNumberFormat="1" applyFont="1"/>
    <xf numFmtId="0" fontId="3" fillId="0" borderId="1" xfId="0" applyFont="1" applyBorder="1" applyAlignment="1">
      <alignment wrapText="1"/>
    </xf>
    <xf numFmtId="0" fontId="3" fillId="0" borderId="2" xfId="0" applyFont="1" applyBorder="1" applyAlignment="1">
      <alignment wrapText="1"/>
    </xf>
    <xf numFmtId="0" fontId="3" fillId="0" borderId="3" xfId="0" applyFont="1" applyBorder="1" applyAlignment="1">
      <alignment wrapText="1"/>
    </xf>
    <xf numFmtId="0" fontId="0" fillId="0" borderId="4" xfId="0" applyFont="1" applyBorder="1"/>
    <xf numFmtId="2" fontId="0" fillId="0" borderId="0" xfId="0" applyNumberFormat="1" applyFont="1" applyBorder="1"/>
    <xf numFmtId="9" fontId="0" fillId="0" borderId="0" xfId="0" applyNumberFormat="1" applyFont="1" applyBorder="1"/>
    <xf numFmtId="0" fontId="3" fillId="0" borderId="0" xfId="0" applyFont="1" applyBorder="1"/>
    <xf numFmtId="0" fontId="3" fillId="0" borderId="5" xfId="0" applyFont="1" applyBorder="1"/>
    <xf numFmtId="164" fontId="0" fillId="0" borderId="0" xfId="0" applyNumberFormat="1" applyBorder="1"/>
    <xf numFmtId="0" fontId="0" fillId="0" borderId="5" xfId="0" applyBorder="1"/>
    <xf numFmtId="2" fontId="3" fillId="0" borderId="7" xfId="0" applyNumberFormat="1" applyFont="1" applyBorder="1"/>
    <xf numFmtId="0" fontId="3" fillId="0" borderId="8" xfId="0" applyFont="1" applyBorder="1"/>
    <xf numFmtId="0" fontId="0" fillId="0" borderId="6" xfId="0" applyFont="1" applyBorder="1"/>
    <xf numFmtId="0" fontId="0" fillId="0" borderId="7" xfId="0" applyBorder="1"/>
    <xf numFmtId="9" fontId="0" fillId="0" borderId="7" xfId="1" applyFont="1" applyBorder="1"/>
    <xf numFmtId="0" fontId="3" fillId="0" borderId="7" xfId="0" applyFont="1" applyBorder="1"/>
    <xf numFmtId="2" fontId="3" fillId="0" borderId="0" xfId="0" applyNumberFormat="1" applyFont="1" applyBorder="1"/>
    <xf numFmtId="0" fontId="3" fillId="0" borderId="4" xfId="0" applyFont="1" applyBorder="1"/>
    <xf numFmtId="49" fontId="0" fillId="0" borderId="2" xfId="0" applyNumberFormat="1" applyBorder="1" applyAlignment="1">
      <alignment horizontal="center" vertical="top" wrapText="1"/>
    </xf>
    <xf numFmtId="2" fontId="9" fillId="2" borderId="0" xfId="0" applyNumberFormat="1" applyFont="1" applyFill="1" applyBorder="1" applyAlignment="1">
      <alignment horizontal="right" vertical="center"/>
    </xf>
    <xf numFmtId="2" fontId="11" fillId="2" borderId="0" xfId="0" applyNumberFormat="1" applyFont="1" applyFill="1" applyBorder="1" applyAlignment="1">
      <alignment horizontal="right" vertical="center"/>
    </xf>
    <xf numFmtId="0" fontId="0" fillId="4" borderId="11" xfId="0" applyFill="1" applyBorder="1" applyAlignment="1">
      <alignment horizontal="center"/>
    </xf>
    <xf numFmtId="0" fontId="0" fillId="4" borderId="12" xfId="0" applyFill="1" applyBorder="1" applyAlignment="1">
      <alignment horizontal="center"/>
    </xf>
    <xf numFmtId="0" fontId="0" fillId="4" borderId="13" xfId="0" applyFill="1" applyBorder="1" applyAlignment="1">
      <alignment horizontal="center"/>
    </xf>
    <xf numFmtId="0" fontId="0" fillId="8" borderId="11"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0" borderId="2" xfId="0" applyFill="1" applyBorder="1" applyAlignment="1">
      <alignment horizontal="center" vertical="top" wrapText="1"/>
    </xf>
    <xf numFmtId="0" fontId="0" fillId="0" borderId="0" xfId="0" applyFill="1" applyBorder="1" applyAlignment="1">
      <alignment horizontal="center" vertical="top" wrapText="1"/>
    </xf>
    <xf numFmtId="2" fontId="4" fillId="0" borderId="0" xfId="0" applyNumberFormat="1" applyFont="1" applyFill="1" applyBorder="1" applyAlignment="1">
      <alignment horizontal="right" vertical="center"/>
    </xf>
    <xf numFmtId="0" fontId="0" fillId="10" borderId="11" xfId="0" applyFill="1" applyBorder="1" applyAlignment="1">
      <alignment horizontal="center"/>
    </xf>
    <xf numFmtId="0" fontId="0" fillId="10" borderId="13" xfId="0" applyFill="1" applyBorder="1" applyAlignment="1">
      <alignment horizontal="center"/>
    </xf>
    <xf numFmtId="0" fontId="0" fillId="5" borderId="11" xfId="0" applyFill="1" applyBorder="1" applyAlignment="1">
      <alignment horizontal="center"/>
    </xf>
    <xf numFmtId="0" fontId="0" fillId="5" borderId="13"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7" borderId="11" xfId="0" applyFill="1" applyBorder="1" applyAlignment="1">
      <alignment horizontal="center"/>
    </xf>
    <xf numFmtId="0" fontId="0" fillId="7" borderId="12" xfId="0" applyFill="1" applyBorder="1" applyAlignment="1">
      <alignment horizontal="center"/>
    </xf>
    <xf numFmtId="0" fontId="0" fillId="7" borderId="13" xfId="0" applyFill="1" applyBorder="1" applyAlignment="1">
      <alignment horizontal="center"/>
    </xf>
    <xf numFmtId="0" fontId="0" fillId="5" borderId="12" xfId="0" applyFill="1" applyBorder="1" applyAlignment="1">
      <alignment horizontal="center"/>
    </xf>
    <xf numFmtId="0" fontId="0" fillId="5" borderId="16" xfId="0" applyFill="1" applyBorder="1" applyAlignment="1">
      <alignment horizontal="center"/>
    </xf>
    <xf numFmtId="0" fontId="0" fillId="6" borderId="13" xfId="0" applyFill="1" applyBorder="1" applyAlignment="1">
      <alignment horizontal="center"/>
    </xf>
    <xf numFmtId="0" fontId="3" fillId="11" borderId="27" xfId="0" applyFont="1" applyFill="1" applyBorder="1" applyAlignment="1">
      <alignment horizontal="center" wrapText="1"/>
    </xf>
    <xf numFmtId="0" fontId="0" fillId="11" borderId="28" xfId="0" applyFill="1" applyBorder="1" applyAlignment="1">
      <alignment horizontal="center" wrapText="1"/>
    </xf>
    <xf numFmtId="0" fontId="0" fillId="11" borderId="29" xfId="0" applyFill="1" applyBorder="1" applyAlignment="1">
      <alignment horizontal="center" wrapText="1"/>
    </xf>
    <xf numFmtId="0" fontId="0" fillId="0" borderId="1" xfId="0" applyBorder="1" applyAlignment="1">
      <alignment horizontal="right"/>
    </xf>
    <xf numFmtId="0" fontId="0" fillId="0" borderId="2" xfId="0"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10" fillId="11" borderId="24" xfId="0" applyFont="1" applyFill="1" applyBorder="1" applyAlignment="1">
      <alignment horizontal="center" wrapText="1"/>
    </xf>
    <xf numFmtId="0" fontId="10" fillId="11" borderId="25" xfId="0" applyFont="1" applyFill="1" applyBorder="1" applyAlignment="1">
      <alignment horizontal="center" wrapText="1"/>
    </xf>
    <xf numFmtId="0" fontId="10" fillId="11" borderId="26" xfId="0" applyFont="1" applyFill="1" applyBorder="1" applyAlignment="1">
      <alignment horizontal="center" wrapText="1"/>
    </xf>
    <xf numFmtId="0" fontId="0" fillId="0" borderId="11" xfId="0" applyBorder="1" applyAlignment="1">
      <alignment horizontal="center"/>
    </xf>
    <xf numFmtId="0" fontId="0" fillId="0" borderId="12" xfId="0" applyBorder="1" applyAlignment="1">
      <alignment horizontal="center"/>
    </xf>
  </cellXfs>
  <cellStyles count="5">
    <cellStyle name="Normal" xfId="0" builtinId="0"/>
    <cellStyle name="Normal 2 2 4" xfId="2" xr:uid="{4976577D-4B91-4692-982A-FCBC29A3E54A}"/>
    <cellStyle name="Normal 23 2" xfId="3" xr:uid="{5ED6AD3B-27B4-460A-B7D7-B6A131C004EA}"/>
    <cellStyle name="Normal 3" xfId="4" xr:uid="{1C0C5208-77AA-43B9-BF66-ED91D2D502F2}"/>
    <cellStyle name="Pourcentage" xfId="1" builtinId="5"/>
  </cellStyles>
  <dxfs count="0"/>
  <tableStyles count="0" defaultTableStyle="TableStyleMedium2" defaultPivotStyle="PivotStyleLight16"/>
  <colors>
    <mruColors>
      <color rgb="FF00005B"/>
      <color rgb="FF4BD2AF"/>
      <color rgb="FFFFDC53"/>
      <color rgb="FF00788C"/>
      <color rgb="FF82C8FA"/>
      <color rgb="FF6BBCF9"/>
      <color rgb="FF2EA0F6"/>
      <color rgb="FFFAB363"/>
      <color rgb="FF736997"/>
      <color rgb="FFC5C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'[1]Figure 3 - EXPOSITION'!$B$1</c:f>
              <c:strCache>
                <c:ptCount val="1"/>
                <c:pt idx="0">
                  <c:v>Vide</c:v>
                </c:pt>
              </c:strCache>
            </c:strRef>
          </c:tx>
          <c:spPr>
            <a:solidFill>
              <a:schemeClr val="bg1"/>
            </a:solidFill>
            <a:ln>
              <a:noFill/>
            </a:ln>
            <a:effectLst/>
          </c:spPr>
          <c:invertIfNegative val="0"/>
          <c:dLbls>
            <c:delete val="1"/>
          </c:dLbls>
          <c:cat>
            <c:strRef>
              <c:f>'[1]Figure 3 - EXPOSITION'!$A$2:$A$6</c:f>
              <c:strCache>
                <c:ptCount val="5"/>
                <c:pt idx="0">
                  <c:v>Production énergétique française (inclut l'énergie directement exportée)</c:v>
                </c:pt>
                <c:pt idx="1">
                  <c:v>Energie importée consommée domestiquement (inclut les biens et services exportés)</c:v>
                </c:pt>
                <c:pt idx="2">
                  <c:v>Energie importée puis réexportée (pétrole brut raffiné, gaz naturel de transit)</c:v>
                </c:pt>
                <c:pt idx="3">
                  <c:v>Biens et services importés (énergie "grise" incorporée)</c:v>
                </c:pt>
                <c:pt idx="4">
                  <c:v>Exposition énergétique de l'économie française</c:v>
                </c:pt>
              </c:strCache>
            </c:strRef>
          </c:cat>
          <c:val>
            <c:numRef>
              <c:f>'[1]Figure 3 - EXPOSITION'!$B$2:$B$6</c:f>
              <c:numCache>
                <c:formatCode>General</c:formatCode>
                <c:ptCount val="5"/>
                <c:pt idx="1">
                  <c:v>681.19049733693396</c:v>
                </c:pt>
                <c:pt idx="2">
                  <c:v>1876.517712272984</c:v>
                </c:pt>
                <c:pt idx="3">
                  <c:v>2165.6339461036951</c:v>
                </c:pt>
              </c:numCache>
            </c:numRef>
          </c:val>
          <c:extLst>
            <c:ext xmlns:c16="http://schemas.microsoft.com/office/drawing/2014/chart" uri="{C3380CC4-5D6E-409C-BE32-E72D297353CC}">
              <c16:uniqueId val="{00000000-761B-4917-977B-E1DD78ACB92F}"/>
            </c:ext>
          </c:extLst>
        </c:ser>
        <c:ser>
          <c:idx val="2"/>
          <c:order val="1"/>
          <c:tx>
            <c:strRef>
              <c:f>'[1]Figure 3 - EXPOSITION'!$C$1</c:f>
              <c:strCache>
                <c:ptCount val="1"/>
                <c:pt idx="0">
                  <c:v>Bas-carbone</c:v>
                </c:pt>
              </c:strCache>
            </c:strRef>
          </c:tx>
          <c:spPr>
            <a:solidFill>
              <a:srgbClr val="4BD2AF"/>
            </a:solidFill>
            <a:ln>
              <a:noFill/>
            </a:ln>
            <a:effectLst/>
          </c:spPr>
          <c:invertIfNegative val="0"/>
          <c:dPt>
            <c:idx val="4"/>
            <c:invertIfNegative val="0"/>
            <c:bubble3D val="0"/>
            <c:spPr>
              <a:solidFill>
                <a:srgbClr val="4BD2AF"/>
              </a:solidFill>
              <a:ln w="31750">
                <a:solidFill>
                  <a:srgbClr val="1E7860"/>
                </a:solidFill>
              </a:ln>
              <a:effectLst/>
            </c:spPr>
            <c:extLst>
              <c:ext xmlns:c16="http://schemas.microsoft.com/office/drawing/2014/chart" uri="{C3380CC4-5D6E-409C-BE32-E72D297353CC}">
                <c16:uniqueId val="{00000002-761B-4917-977B-E1DD78ACB92F}"/>
              </c:ext>
            </c:extLst>
          </c:dPt>
          <c:dLbls>
            <c:dLbl>
              <c:idx val="0"/>
              <c:layout>
                <c:manualLayout>
                  <c:x val="0"/>
                  <c:y val="-9.2399903973931344E-2"/>
                </c:manualLayout>
              </c:layout>
              <c:tx>
                <c:rich>
                  <a:bodyPr/>
                  <a:lstStyle/>
                  <a:p>
                    <a:fld id="{E02CDB3F-2BE7-45B9-957D-D2E70E48F34A}"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61B-4917-977B-E1DD78ACB92F}"/>
                </c:ext>
              </c:extLst>
            </c:dLbl>
            <c:dLbl>
              <c:idx val="1"/>
              <c:layout>
                <c:manualLayout>
                  <c:x val="0"/>
                  <c:y val="-0.25238405704893002"/>
                </c:manualLayout>
              </c:layout>
              <c:tx>
                <c:rich>
                  <a:bodyPr/>
                  <a:lstStyle/>
                  <a:p>
                    <a:fld id="{F4B2ABF9-C07B-4700-A5DB-064D3D204A58}"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61B-4917-977B-E1DD78ACB92F}"/>
                </c:ext>
              </c:extLst>
            </c:dLbl>
            <c:dLbl>
              <c:idx val="2"/>
              <c:layout>
                <c:manualLayout>
                  <c:x val="0"/>
                  <c:y val="-8.3326227579159196E-2"/>
                </c:manualLayout>
              </c:layout>
              <c:tx>
                <c:rich>
                  <a:bodyPr/>
                  <a:lstStyle/>
                  <a:p>
                    <a:fld id="{F52E2986-3683-42AE-8607-CD4B6896357B}"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61B-4917-977B-E1DD78ACB92F}"/>
                </c:ext>
              </c:extLst>
            </c:dLbl>
            <c:dLbl>
              <c:idx val="3"/>
              <c:layout>
                <c:manualLayout>
                  <c:x val="-8.6384520674968198E-17"/>
                  <c:y val="-0.15814102976152214"/>
                </c:manualLayout>
              </c:layout>
              <c:tx>
                <c:rich>
                  <a:bodyPr/>
                  <a:lstStyle/>
                  <a:p>
                    <a:fld id="{BB7D71ED-81DC-4E59-9D93-B444ADBE34CD}"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61B-4917-977B-E1DD78ACB92F}"/>
                </c:ext>
              </c:extLst>
            </c:dLbl>
            <c:dLbl>
              <c:idx val="4"/>
              <c:layout>
                <c:manualLayout>
                  <c:x val="0"/>
                  <c:y val="-0.51324018454846099"/>
                </c:manualLayout>
              </c:layout>
              <c:tx>
                <c:rich>
                  <a:bodyPr/>
                  <a:lstStyle/>
                  <a:p>
                    <a:fld id="{AA009C56-FFF1-4CB5-BEDC-8A7481F32B2A}"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61B-4917-977B-E1DD78ACB92F}"/>
                </c:ext>
              </c:extLst>
            </c:dLbl>
            <c:numFmt formatCode="#\ &quot;TWh&quot;"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'[1]Figure 3 - EXPOSITION'!$A$2:$A$6</c:f>
              <c:strCache>
                <c:ptCount val="5"/>
                <c:pt idx="0">
                  <c:v>Production énergétique française (inclut l'énergie directement exportée)</c:v>
                </c:pt>
                <c:pt idx="1">
                  <c:v>Energie importée consommée domestiquement (inclut les biens et services exportés)</c:v>
                </c:pt>
                <c:pt idx="2">
                  <c:v>Energie importée puis réexportée (pétrole brut raffiné, gaz naturel de transit)</c:v>
                </c:pt>
                <c:pt idx="3">
                  <c:v>Biens et services importés (énergie "grise" incorporée)</c:v>
                </c:pt>
                <c:pt idx="4">
                  <c:v>Exposition énergétique de l'économie française</c:v>
                </c:pt>
              </c:strCache>
            </c:strRef>
          </c:cat>
          <c:val>
            <c:numRef>
              <c:f>'[1]Figure 3 - EXPOSITION'!$C$2:$C$6</c:f>
              <c:numCache>
                <c:formatCode>General</c:formatCode>
                <c:ptCount val="5"/>
                <c:pt idx="0">
                  <c:v>671.1139709771644</c:v>
                </c:pt>
                <c:pt idx="1">
                  <c:v>20.046437334786788</c:v>
                </c:pt>
                <c:pt idx="2">
                  <c:v>0</c:v>
                </c:pt>
                <c:pt idx="3">
                  <c:v>190.52849087812069</c:v>
                </c:pt>
                <c:pt idx="4">
                  <c:v>881.68889919007188</c:v>
                </c:pt>
              </c:numCache>
            </c:numRef>
          </c:val>
          <c:extLst>
            <c:ext xmlns:c15="http://schemas.microsoft.com/office/drawing/2012/chart" uri="{02D57815-91ED-43cb-92C2-25804820EDAC}">
              <c15:datalabelsRange>
                <c15:f>'Figure 3 - EXPOSITION'!$E$2:$E$6</c15:f>
                <c15:dlblRangeCache>
                  <c:ptCount val="5"/>
                  <c:pt idx="0">
                    <c:v>681 TWh</c:v>
                  </c:pt>
                  <c:pt idx="1">
                    <c:v>1195 TWh</c:v>
                  </c:pt>
                  <c:pt idx="2">
                    <c:v>289 TWh</c:v>
                  </c:pt>
                  <c:pt idx="3">
                    <c:v>839 TWh</c:v>
                  </c:pt>
                  <c:pt idx="4">
                    <c:v>3005 TWh</c:v>
                  </c:pt>
                </c15:dlblRangeCache>
              </c15:datalabelsRange>
            </c:ext>
            <c:ext xmlns:c16="http://schemas.microsoft.com/office/drawing/2014/chart" uri="{C3380CC4-5D6E-409C-BE32-E72D297353CC}">
              <c16:uniqueId val="{00000007-761B-4917-977B-E1DD78ACB92F}"/>
            </c:ext>
          </c:extLst>
        </c:ser>
        <c:ser>
          <c:idx val="1"/>
          <c:order val="2"/>
          <c:tx>
            <c:strRef>
              <c:f>'[1]Figure 3 - EXPOSITION'!$D$1</c:f>
              <c:strCache>
                <c:ptCount val="1"/>
                <c:pt idx="0">
                  <c:v>Fossile</c:v>
                </c:pt>
              </c:strCache>
            </c:strRef>
          </c:tx>
          <c:spPr>
            <a:solidFill>
              <a:srgbClr val="00005A"/>
            </a:solidFill>
            <a:ln>
              <a:noFill/>
            </a:ln>
            <a:effectLst/>
          </c:spPr>
          <c:invertIfNegative val="0"/>
          <c:dPt>
            <c:idx val="4"/>
            <c:invertIfNegative val="0"/>
            <c:bubble3D val="0"/>
            <c:spPr>
              <a:solidFill>
                <a:srgbClr val="00005A"/>
              </a:solidFill>
              <a:ln w="31750">
                <a:solidFill>
                  <a:schemeClr val="tx1"/>
                </a:solidFill>
              </a:ln>
              <a:effectLst/>
            </c:spPr>
            <c:extLst>
              <c:ext xmlns:c16="http://schemas.microsoft.com/office/drawing/2014/chart" uri="{C3380CC4-5D6E-409C-BE32-E72D297353CC}">
                <c16:uniqueId val="{00000009-761B-4917-977B-E1DD78ACB92F}"/>
              </c:ext>
            </c:extLst>
          </c:dPt>
          <c:dLbls>
            <c:dLbl>
              <c:idx val="0"/>
              <c:delete val="1"/>
              <c:extLst>
                <c:ext xmlns:c15="http://schemas.microsoft.com/office/drawing/2012/chart" uri="{CE6537A1-D6FC-4f65-9D91-7224C49458BB}"/>
                <c:ext xmlns:c16="http://schemas.microsoft.com/office/drawing/2014/chart" uri="{C3380CC4-5D6E-409C-BE32-E72D297353CC}">
                  <c16:uniqueId val="{0000000A-761B-4917-977B-E1DD78ACB92F}"/>
                </c:ext>
              </c:extLst>
            </c:dLbl>
            <c:dLbl>
              <c:idx val="1"/>
              <c:tx>
                <c:rich>
                  <a:bodyPr/>
                  <a:lstStyle/>
                  <a:p>
                    <a:fld id="{9BD5E997-DE3C-41D3-B6F9-948E759AE37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61B-4917-977B-E1DD78ACB92F}"/>
                </c:ext>
              </c:extLst>
            </c:dLbl>
            <c:dLbl>
              <c:idx val="2"/>
              <c:tx>
                <c:rich>
                  <a:bodyPr/>
                  <a:lstStyle/>
                  <a:p>
                    <a:fld id="{84C6A894-72D6-46CD-BB92-84DE8061A830}"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61B-4917-977B-E1DD78ACB92F}"/>
                </c:ext>
              </c:extLst>
            </c:dLbl>
            <c:dLbl>
              <c:idx val="3"/>
              <c:tx>
                <c:rich>
                  <a:bodyPr/>
                  <a:lstStyle/>
                  <a:p>
                    <a:fld id="{5699201F-6B7B-4D5D-B894-B43B6442E7D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61B-4917-977B-E1DD78ACB92F}"/>
                </c:ext>
              </c:extLst>
            </c:dLbl>
            <c:dLbl>
              <c:idx val="4"/>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29FF1A92-7708-488C-B895-64B43BCA5280}" type="CELLRANGE">
                      <a:rPr lang="fr-FR"/>
                      <a:pPr>
                        <a:defRPr sz="1100" b="1">
                          <a:solidFill>
                            <a:schemeClr val="bg1"/>
                          </a:solidFill>
                        </a:defRPr>
                      </a:pPr>
                      <a:t>[PLAGECELL]</a:t>
                    </a:fld>
                    <a:endParaRPr lang="fr-F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fr-FR"/>
                </a:p>
              </c:txPr>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61B-4917-977B-E1DD78ACB92F}"/>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'[1]Figure 3 - EXPOSITION'!$A$2:$A$6</c:f>
              <c:strCache>
                <c:ptCount val="5"/>
                <c:pt idx="0">
                  <c:v>Production énergétique française (inclut l'énergie directement exportée)</c:v>
                </c:pt>
                <c:pt idx="1">
                  <c:v>Energie importée consommée domestiquement (inclut les biens et services exportés)</c:v>
                </c:pt>
                <c:pt idx="2">
                  <c:v>Energie importée puis réexportée (pétrole brut raffiné, gaz naturel de transit)</c:v>
                </c:pt>
                <c:pt idx="3">
                  <c:v>Biens et services importés (énergie "grise" incorporée)</c:v>
                </c:pt>
                <c:pt idx="4">
                  <c:v>Exposition énergétique de l'économie française</c:v>
                </c:pt>
              </c:strCache>
            </c:strRef>
          </c:cat>
          <c:val>
            <c:numRef>
              <c:f>'[1]Figure 3 - EXPOSITION'!$D$2:$D$6</c:f>
              <c:numCache>
                <c:formatCode>General</c:formatCode>
                <c:ptCount val="5"/>
                <c:pt idx="0">
                  <c:v>10.076526359769566</c:v>
                </c:pt>
                <c:pt idx="1">
                  <c:v>1175.2807776012633</c:v>
                </c:pt>
                <c:pt idx="2">
                  <c:v>289.116233830711</c:v>
                </c:pt>
                <c:pt idx="3">
                  <c:v>648.56721997169529</c:v>
                </c:pt>
                <c:pt idx="4">
                  <c:v>2123.0407577634392</c:v>
                </c:pt>
              </c:numCache>
            </c:numRef>
          </c:val>
          <c:extLst>
            <c:ext xmlns:c15="http://schemas.microsoft.com/office/drawing/2012/chart" uri="{02D57815-91ED-43cb-92C2-25804820EDAC}">
              <c15:datalabelsRange>
                <c15:f>'Figure 3 - EXPOSITION'!$F$2:$F$6</c15:f>
                <c15:dlblRangeCache>
                  <c:ptCount val="5"/>
                  <c:pt idx="0">
                    <c:v>1%</c:v>
                  </c:pt>
                  <c:pt idx="1">
                    <c:v>98%</c:v>
                  </c:pt>
                  <c:pt idx="2">
                    <c:v>100%</c:v>
                  </c:pt>
                  <c:pt idx="3">
                    <c:v>77%</c:v>
                  </c:pt>
                  <c:pt idx="4">
                    <c:v>71%</c:v>
                  </c:pt>
                </c15:dlblRangeCache>
              </c15:datalabelsRange>
            </c:ext>
            <c:ext xmlns:c16="http://schemas.microsoft.com/office/drawing/2014/chart" uri="{C3380CC4-5D6E-409C-BE32-E72D297353CC}">
              <c16:uniqueId val="{0000000E-761B-4917-977B-E1DD78ACB92F}"/>
            </c:ext>
          </c:extLst>
        </c:ser>
        <c:dLbls>
          <c:dLblPos val="inEnd"/>
          <c:showLegendKey val="0"/>
          <c:showVal val="1"/>
          <c:showCatName val="0"/>
          <c:showSerName val="0"/>
          <c:showPercent val="0"/>
          <c:showBubbleSize val="0"/>
        </c:dLbls>
        <c:gapWidth val="100"/>
        <c:overlap val="100"/>
        <c:axId val="1834192560"/>
        <c:axId val="1834199216"/>
      </c:barChart>
      <c:catAx>
        <c:axId val="1834192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834199216"/>
        <c:crosses val="autoZero"/>
        <c:auto val="1"/>
        <c:lblAlgn val="ctr"/>
        <c:lblOffset val="100"/>
        <c:noMultiLvlLbl val="0"/>
      </c:catAx>
      <c:valAx>
        <c:axId val="1834199216"/>
        <c:scaling>
          <c:orientation val="minMax"/>
        </c:scaling>
        <c:delete val="1"/>
        <c:axPos val="l"/>
        <c:numFmt formatCode="General" sourceLinked="1"/>
        <c:majorTickMark val="none"/>
        <c:minorTickMark val="none"/>
        <c:tickLblPos val="nextTo"/>
        <c:crossAx val="1834192560"/>
        <c:crosses val="autoZero"/>
        <c:crossBetween val="between"/>
      </c:valAx>
      <c:spPr>
        <a:noFill/>
        <a:ln>
          <a:noFill/>
        </a:ln>
        <a:effectLst/>
      </c:spPr>
    </c:plotArea>
    <c:legend>
      <c:legendPos val="b"/>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_xlchart.v5.0</cx:f>
      </cx:strDim>
      <cx:numDim type="val">
        <cx:f>_xlchart.v5.1</cx:f>
      </cx:numDim>
    </cx:data>
  </cx:chartData>
  <cx:chart>
    <cx:plotArea>
      <cx:plotAreaRegion>
        <cx:series layoutId="waterfall" uniqueId="{44EFE9AC-5CF8-4E9D-A8D7-41F8FD26A27A}">
          <cx:dataLabels pos="outEnd">
            <cx:numFmt formatCode="# &quot;TWh&quot;" sourceLinked="0"/>
            <cx:txPr>
              <a:bodyPr spcFirstLastPara="1" vertOverflow="ellipsis" horzOverflow="overflow" wrap="square" lIns="0" tIns="0" rIns="0" bIns="0" anchor="ctr" anchorCtr="1"/>
              <a:lstStyle/>
              <a:p>
                <a:pPr algn="ctr" rtl="0">
                  <a:defRPr sz="1000"/>
                </a:pPr>
                <a:endParaRPr lang="fr-FR" sz="1000" b="0" i="0" u="none" strike="noStrike" baseline="0">
                  <a:solidFill>
                    <a:sysClr val="windowText" lastClr="000000">
                      <a:lumMod val="65000"/>
                      <a:lumOff val="35000"/>
                    </a:sysClr>
                  </a:solidFill>
                  <a:latin typeface="Calibri" panose="020F0502020204030204"/>
                </a:endParaRPr>
              </a:p>
            </cx:txPr>
            <cx:visibility seriesName="0" categoryName="0" value="1"/>
            <cx:separator> </cx:separator>
            <cx:dataLabel idx="0">
              <cx:txPr>
                <a:bodyPr spcFirstLastPara="1" vertOverflow="ellipsis" horzOverflow="overflow" wrap="square" lIns="0" tIns="0" rIns="0" bIns="0" anchor="ctr" anchorCtr="1"/>
                <a:lstStyle/>
                <a:p>
                  <a:pPr algn="ctr" rtl="0">
                    <a:defRPr b="1"/>
                  </a:pPr>
                  <a:r>
                    <a:rPr lang="fr-FR" sz="1000" b="1" i="0" u="none" strike="noStrike" baseline="0">
                      <a:solidFill>
                        <a:sysClr val="windowText" lastClr="000000">
                          <a:lumMod val="65000"/>
                          <a:lumOff val="35000"/>
                        </a:sysClr>
                      </a:solidFill>
                      <a:latin typeface="Calibri" panose="020F0502020204030204"/>
                    </a:rPr>
                    <a:t>681 TWh</a:t>
                  </a:r>
                </a:p>
              </cx:txPr>
            </cx:dataLabel>
            <cx:dataLabel idx="3">
              <cx:txPr>
                <a:bodyPr spcFirstLastPara="1" vertOverflow="ellipsis" horzOverflow="overflow" wrap="square" lIns="0" tIns="0" rIns="0" bIns="0" anchor="ctr" anchorCtr="1"/>
                <a:lstStyle/>
                <a:p>
                  <a:pPr algn="ctr" rtl="0">
                    <a:defRPr b="1"/>
                  </a:pPr>
                  <a:r>
                    <a:rPr lang="fr-FR" sz="1000" b="1" i="0" u="none" strike="noStrike" baseline="0">
                      <a:solidFill>
                        <a:sysClr val="windowText" lastClr="000000">
                          <a:lumMod val="65000"/>
                          <a:lumOff val="35000"/>
                        </a:sysClr>
                      </a:solidFill>
                      <a:latin typeface="Calibri" panose="020F0502020204030204"/>
                    </a:rPr>
                    <a:t>1795 TWh</a:t>
                  </a:r>
                </a:p>
              </cx:txPr>
            </cx:dataLabel>
            <cx:dataLabel idx="6">
              <cx:txPr>
                <a:bodyPr spcFirstLastPara="1" vertOverflow="ellipsis" horzOverflow="overflow" wrap="square" lIns="0" tIns="0" rIns="0" bIns="0" anchor="ctr" anchorCtr="1"/>
                <a:lstStyle/>
                <a:p>
                  <a:pPr algn="ctr" rtl="0">
                    <a:defRPr b="1"/>
                  </a:pPr>
                  <a:r>
                    <a:rPr lang="fr-FR" sz="1000" b="1" i="0" u="none" strike="noStrike" baseline="0">
                      <a:solidFill>
                        <a:sysClr val="windowText" lastClr="000000">
                          <a:lumMod val="65000"/>
                          <a:lumOff val="35000"/>
                        </a:sysClr>
                      </a:solidFill>
                      <a:latin typeface="Calibri" panose="020F0502020204030204"/>
                    </a:rPr>
                    <a:t>2112 TWh</a:t>
                  </a:r>
                </a:p>
              </cx:txPr>
            </cx:dataLabel>
          </cx:dataLabels>
          <cx:dataId val="0"/>
          <cx:layoutPr>
            <cx:subtotals>
              <cx:idx val="0"/>
              <cx:idx val="3"/>
              <cx:idx val="6"/>
            </cx:subtotals>
          </cx:layoutPr>
        </cx:series>
      </cx:plotAreaRegion>
      <cx:axis id="0" hidden="1">
        <cx:catScaling gapWidth="0.5"/>
        <cx:tickLabels/>
      </cx:axis>
      <cx:axis id="1" hidden="1">
        <cx:valScaling/>
        <cx:tickLabels/>
      </cx:axis>
    </cx:plotArea>
  </cx:chart>
  <cx:fmtOvrs>
    <cx:fmtOvr idx="2">
      <cx:spPr>
        <a:solidFill>
          <a:srgbClr val="00005A"/>
        </a:solidFill>
      </cx:spPr>
    </cx:fmtOvr>
    <cx:fmtOvr idx="1">
      <cx:spPr>
        <a:solidFill>
          <a:srgbClr val="FF8200"/>
        </a:solidFill>
      </cx:spPr>
    </cx:fmtOvr>
    <cx:fmtOvr idx="0">
      <cx:spPr>
        <a:solidFill>
          <a:srgbClr val="0028DC"/>
        </a:solidFill>
      </cx:spPr>
    </cx:fmtOvr>
  </cx:fmtOvrs>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microsoft.com/office/2014/relationships/chartEx" Target="../charts/chartEx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81279</xdr:colOff>
      <xdr:row>9</xdr:row>
      <xdr:rowOff>45720</xdr:rowOff>
    </xdr:from>
    <xdr:to>
      <xdr:col>6</xdr:col>
      <xdr:colOff>718184</xdr:colOff>
      <xdr:row>25</xdr:row>
      <xdr:rowOff>175260</xdr:rowOff>
    </xdr:to>
    <mc:AlternateContent xmlns:mc="http://schemas.openxmlformats.org/markup-compatibility/2006">
      <mc:Choice xmlns:cx4="http://schemas.microsoft.com/office/drawing/2016/5/10/chartex" Requires="cx4">
        <xdr:graphicFrame macro="">
          <xdr:nvGraphicFramePr>
            <xdr:cNvPr id="2" name="Graphique 1">
              <a:extLst>
                <a:ext uri="{FF2B5EF4-FFF2-40B4-BE49-F238E27FC236}">
                  <a16:creationId xmlns:a16="http://schemas.microsoft.com/office/drawing/2014/main" id="{E51319E4-5A84-4047-914E-90C50372DA33}"/>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81279" y="1703070"/>
              <a:ext cx="5481955" cy="3075940"/>
            </a:xfrm>
            <a:prstGeom prst="rect">
              <a:avLst/>
            </a:prstGeom>
            <a:solidFill>
              <a:prstClr val="white"/>
            </a:solidFill>
            <a:ln w="1">
              <a:solidFill>
                <a:prstClr val="green"/>
              </a:solidFill>
            </a:ln>
          </xdr:spPr>
          <xdr:txBody>
            <a:bodyPr vertOverflow="clip" horzOverflow="clip"/>
            <a:lstStyle/>
            <a:p>
              <a:r>
                <a:rPr lang="fr-FR" sz="1100"/>
                <a:t>Ce graphique n’est pas disponible dans votre version d’Excel.
La modification de cette forme ou l’enregistrement de ce classeur dans un autre format de fichier endommagera le graphique de façon irréparable.</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932864</xdr:colOff>
      <xdr:row>8</xdr:row>
      <xdr:rowOff>21981</xdr:rowOff>
    </xdr:from>
    <xdr:to>
      <xdr:col>6</xdr:col>
      <xdr:colOff>117524</xdr:colOff>
      <xdr:row>28</xdr:row>
      <xdr:rowOff>23446</xdr:rowOff>
    </xdr:to>
    <xdr:graphicFrame macro="">
      <xdr:nvGraphicFramePr>
        <xdr:cNvPr id="2" name="Graphique 1">
          <a:extLst>
            <a:ext uri="{FF2B5EF4-FFF2-40B4-BE49-F238E27FC236}">
              <a16:creationId xmlns:a16="http://schemas.microsoft.com/office/drawing/2014/main" id="{D5ABBF00-5D84-46C4-9229-98773E67B7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scad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igure 2 - EMPREINTE"/>
      <sheetName val="Feuil2"/>
      <sheetName val="Figure 3 - EXPOSITION"/>
    </sheetNames>
    <sheetDataSet>
      <sheetData sheetId="0"/>
      <sheetData sheetId="1">
        <row r="2">
          <cell r="A2" t="str">
            <v>Production</v>
          </cell>
          <cell r="B2">
            <v>681.19049733693419</v>
          </cell>
        </row>
        <row r="3">
          <cell r="A3"/>
          <cell r="B3">
            <v>-81.786497272980597</v>
          </cell>
        </row>
        <row r="4">
          <cell r="A4"/>
          <cell r="B4">
            <v>1195.3272149360464</v>
          </cell>
        </row>
        <row r="5">
          <cell r="A5" t="str">
            <v>Consommation</v>
          </cell>
          <cell r="B5">
            <v>1794.731215</v>
          </cell>
        </row>
        <row r="6">
          <cell r="A6"/>
          <cell r="B6">
            <v>-522.07871163408299</v>
          </cell>
        </row>
        <row r="7">
          <cell r="A7"/>
          <cell r="B7">
            <v>839.09571084981644</v>
          </cell>
        </row>
        <row r="8">
          <cell r="A8" t="str">
            <v>Empreinte</v>
          </cell>
          <cell r="B8">
            <v>2111.9597255580425</v>
          </cell>
        </row>
      </sheetData>
      <sheetData sheetId="2"/>
      <sheetData sheetId="3">
        <row r="1">
          <cell r="B1" t="str">
            <v>Vide</v>
          </cell>
          <cell r="C1" t="str">
            <v>Bas-carbone</v>
          </cell>
          <cell r="D1" t="str">
            <v>Fossile</v>
          </cell>
        </row>
        <row r="2">
          <cell r="A2" t="str">
            <v>Production énergétique française (inclut l'énergie directement exportée)</v>
          </cell>
          <cell r="B2"/>
          <cell r="C2">
            <v>671.1139709771644</v>
          </cell>
          <cell r="D2">
            <v>10.076526359769566</v>
          </cell>
        </row>
        <row r="3">
          <cell r="A3" t="str">
            <v>Energie importée consommée domestiquement (inclut les biens et services exportés)</v>
          </cell>
          <cell r="B3">
            <v>681.19049733693396</v>
          </cell>
          <cell r="C3">
            <v>20.046437334786788</v>
          </cell>
          <cell r="D3">
            <v>1175.2807776012633</v>
          </cell>
        </row>
        <row r="4">
          <cell r="A4" t="str">
            <v>Energie importée puis réexportée (pétrole brut raffiné, gaz naturel de transit)</v>
          </cell>
          <cell r="B4">
            <v>1876.517712272984</v>
          </cell>
          <cell r="C4">
            <v>0</v>
          </cell>
          <cell r="D4">
            <v>289.116233830711</v>
          </cell>
        </row>
        <row r="5">
          <cell r="A5" t="str">
            <v>Biens et services importés (énergie "grise" incorporée)</v>
          </cell>
          <cell r="B5">
            <v>2165.6339461036951</v>
          </cell>
          <cell r="C5">
            <v>190.52849087812069</v>
          </cell>
          <cell r="D5">
            <v>648.56721997169529</v>
          </cell>
        </row>
        <row r="6">
          <cell r="A6" t="str">
            <v>Exposition énergétique de l'économie française</v>
          </cell>
          <cell r="C6">
            <v>881.68889919007188</v>
          </cell>
          <cell r="D6">
            <v>2123.0407577634392</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65221-A978-49D6-A88B-757231EC9A82}">
  <dimension ref="A1:A17"/>
  <sheetViews>
    <sheetView tabSelected="1" workbookViewId="0">
      <selection activeCell="A5" sqref="A5"/>
    </sheetView>
  </sheetViews>
  <sheetFormatPr baseColWidth="10" defaultRowHeight="14.5" x14ac:dyDescent="0.35"/>
  <cols>
    <col min="1" max="1" width="144" customWidth="1"/>
  </cols>
  <sheetData>
    <row r="1" spans="1:1" ht="21" x14ac:dyDescent="0.5">
      <c r="A1" s="179" t="s">
        <v>104</v>
      </c>
    </row>
    <row r="3" spans="1:1" x14ac:dyDescent="0.35">
      <c r="A3" t="s">
        <v>103</v>
      </c>
    </row>
    <row r="5" spans="1:1" ht="72.5" x14ac:dyDescent="0.35">
      <c r="A5" s="9" t="s">
        <v>105</v>
      </c>
    </row>
    <row r="7" spans="1:1" ht="255" customHeight="1" x14ac:dyDescent="0.35">
      <c r="A7" s="1" t="s">
        <v>153</v>
      </c>
    </row>
    <row r="8" spans="1:1" ht="43.5" x14ac:dyDescent="0.35">
      <c r="A8" s="9" t="s">
        <v>152</v>
      </c>
    </row>
    <row r="10" spans="1:1" x14ac:dyDescent="0.35">
      <c r="A10" t="s">
        <v>106</v>
      </c>
    </row>
    <row r="11" spans="1:1" x14ac:dyDescent="0.35">
      <c r="A11" t="s">
        <v>107</v>
      </c>
    </row>
    <row r="12" spans="1:1" s="187" customFormat="1" x14ac:dyDescent="0.35"/>
    <row r="13" spans="1:1" x14ac:dyDescent="0.35">
      <c r="A13" t="s">
        <v>111</v>
      </c>
    </row>
    <row r="14" spans="1:1" ht="43.5" x14ac:dyDescent="0.35">
      <c r="A14" s="1" t="s">
        <v>112</v>
      </c>
    </row>
    <row r="15" spans="1:1" ht="43.5" x14ac:dyDescent="0.35">
      <c r="A15" s="188" t="s">
        <v>113</v>
      </c>
    </row>
    <row r="16" spans="1:1" ht="29" x14ac:dyDescent="0.35">
      <c r="A16" s="188" t="s">
        <v>114</v>
      </c>
    </row>
    <row r="17" spans="1:1" ht="29" x14ac:dyDescent="0.35">
      <c r="A17" s="1" t="s">
        <v>151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B5B4C-AA37-4744-B9CA-BE3D4B0B666C}">
  <dimension ref="A1:L13"/>
  <sheetViews>
    <sheetView workbookViewId="0">
      <selection activeCell="H12" sqref="H12"/>
    </sheetView>
  </sheetViews>
  <sheetFormatPr baseColWidth="10" defaultRowHeight="14.5" x14ac:dyDescent="0.35"/>
  <cols>
    <col min="1" max="1" width="26.1796875" customWidth="1"/>
  </cols>
  <sheetData>
    <row r="1" spans="1:12" x14ac:dyDescent="0.35">
      <c r="A1" s="191"/>
      <c r="B1" s="178"/>
      <c r="C1" s="192" t="s">
        <v>14</v>
      </c>
      <c r="D1" s="192"/>
      <c r="E1" s="192" t="s">
        <v>8</v>
      </c>
      <c r="F1" s="192"/>
      <c r="G1" s="192" t="s">
        <v>9</v>
      </c>
      <c r="H1" s="192" t="s">
        <v>10</v>
      </c>
      <c r="I1" s="192" t="s">
        <v>11</v>
      </c>
      <c r="J1" s="192" t="s">
        <v>12</v>
      </c>
      <c r="K1" s="193" t="s">
        <v>13</v>
      </c>
      <c r="L1" s="15"/>
    </row>
    <row r="2" spans="1:12" x14ac:dyDescent="0.35">
      <c r="A2" s="194" t="s">
        <v>21</v>
      </c>
      <c r="B2" s="15"/>
      <c r="C2" s="15" t="s">
        <v>15</v>
      </c>
      <c r="D2" s="15"/>
      <c r="E2" s="206">
        <f>0.0332760103181427*11.63</f>
        <v>0.38699999999999962</v>
      </c>
      <c r="F2" s="195"/>
      <c r="G2" s="206">
        <f>0.187532244196045*11.63</f>
        <v>2.1810000000000036</v>
      </c>
      <c r="H2" s="206">
        <f>0.217540842648323*11.63</f>
        <v>2.5299999999999967</v>
      </c>
      <c r="I2" s="206">
        <f>0.357622441960447*11.63</f>
        <v>4.1591489999999993</v>
      </c>
      <c r="J2" s="206">
        <f>0.0730589853826311*11.63</f>
        <v>0.84967599999999976</v>
      </c>
      <c r="K2" s="207">
        <f>0.297076526225279*11.63</f>
        <v>3.4549999999999952</v>
      </c>
      <c r="L2" s="15"/>
    </row>
    <row r="3" spans="1:12" x14ac:dyDescent="0.35">
      <c r="A3" s="196" t="s">
        <v>4</v>
      </c>
      <c r="B3" s="16"/>
      <c r="C3" s="15">
        <f t="shared" ref="C3:C8" si="0">SUM(E3:K3)</f>
        <v>3.4401036399999998</v>
      </c>
      <c r="D3" s="15"/>
      <c r="E3" s="197">
        <f>0.25*E2</f>
        <v>9.6749999999999906E-2</v>
      </c>
      <c r="F3" s="197"/>
      <c r="G3" s="197">
        <f>0.46*G2</f>
        <v>1.0032600000000016</v>
      </c>
      <c r="H3" s="197">
        <f>0.06*H2</f>
        <v>0.1517999999999998</v>
      </c>
      <c r="I3" s="197">
        <f>0.36*I2</f>
        <v>1.4972936399999996</v>
      </c>
      <c r="J3" s="197"/>
      <c r="K3" s="198">
        <f>0.2*K2</f>
        <v>0.69099999999999906</v>
      </c>
      <c r="L3" s="16"/>
    </row>
    <row r="4" spans="1:12" x14ac:dyDescent="0.35">
      <c r="A4" s="196" t="s">
        <v>18</v>
      </c>
      <c r="B4" s="16"/>
      <c r="C4" s="15">
        <f t="shared" si="0"/>
        <v>6.2720354799999978</v>
      </c>
      <c r="D4" s="15"/>
      <c r="E4" s="197">
        <f>0.19*E2</f>
        <v>7.3529999999999929E-2</v>
      </c>
      <c r="F4" s="197"/>
      <c r="G4" s="197">
        <f>0.27*G2</f>
        <v>0.588870000000001</v>
      </c>
      <c r="H4" s="197">
        <f>0.44*H2</f>
        <v>1.1131999999999986</v>
      </c>
      <c r="I4" s="197">
        <f>0.64*I2</f>
        <v>2.6618553599999997</v>
      </c>
      <c r="J4" s="197">
        <f>0.37*J2</f>
        <v>0.31438011999999993</v>
      </c>
      <c r="K4" s="198">
        <f>0.44*K2</f>
        <v>1.520199999999998</v>
      </c>
      <c r="L4" s="16"/>
    </row>
    <row r="5" spans="1:12" x14ac:dyDescent="0.35">
      <c r="A5" s="196" t="s">
        <v>19</v>
      </c>
      <c r="B5" s="16"/>
      <c r="C5" s="15">
        <f t="shared" si="0"/>
        <v>0</v>
      </c>
      <c r="D5" s="15"/>
      <c r="E5" s="197"/>
      <c r="F5" s="197"/>
      <c r="G5" s="197"/>
      <c r="H5" s="197"/>
      <c r="I5" s="197"/>
      <c r="J5" s="197"/>
      <c r="K5" s="198"/>
      <c r="L5" s="16"/>
    </row>
    <row r="6" spans="1:12" x14ac:dyDescent="0.35">
      <c r="A6" s="196" t="s">
        <v>7</v>
      </c>
      <c r="B6" s="16"/>
      <c r="C6" s="15">
        <f t="shared" si="0"/>
        <v>0</v>
      </c>
      <c r="D6" s="15"/>
      <c r="E6" s="197"/>
      <c r="F6" s="197"/>
      <c r="G6" s="197"/>
      <c r="H6" s="197"/>
      <c r="I6" s="197"/>
      <c r="J6" s="197"/>
      <c r="K6" s="198"/>
      <c r="L6" s="16"/>
    </row>
    <row r="7" spans="1:12" x14ac:dyDescent="0.35">
      <c r="A7" s="196" t="s">
        <v>20</v>
      </c>
      <c r="B7" s="16"/>
      <c r="C7" s="15">
        <f t="shared" si="0"/>
        <v>0.1818899999999998</v>
      </c>
      <c r="D7" s="15"/>
      <c r="E7" s="197">
        <f>0.47*E2</f>
        <v>0.1818899999999998</v>
      </c>
      <c r="F7" s="197"/>
      <c r="G7" s="197"/>
      <c r="H7" s="197"/>
      <c r="I7" s="197"/>
      <c r="J7" s="197"/>
      <c r="K7" s="198"/>
      <c r="L7" s="16"/>
    </row>
    <row r="8" spans="1:12" x14ac:dyDescent="0.35">
      <c r="A8" s="199" t="s">
        <v>2</v>
      </c>
      <c r="B8" s="200"/>
      <c r="C8" s="201">
        <f t="shared" si="0"/>
        <v>3.6677958799999972</v>
      </c>
      <c r="D8" s="201"/>
      <c r="E8" s="202">
        <f>0.09*E2</f>
        <v>3.4829999999999965E-2</v>
      </c>
      <c r="F8" s="202"/>
      <c r="G8" s="202">
        <f>0.27*G2</f>
        <v>0.588870000000001</v>
      </c>
      <c r="H8" s="202">
        <f>0.5*H2</f>
        <v>1.2649999999999983</v>
      </c>
      <c r="I8" s="202"/>
      <c r="J8" s="202">
        <f>0.63*J2</f>
        <v>0.53529587999999984</v>
      </c>
      <c r="K8" s="203">
        <f>0.36*K2</f>
        <v>1.2437999999999982</v>
      </c>
      <c r="L8" s="16"/>
    </row>
    <row r="9" spans="1:12" x14ac:dyDescent="0.35">
      <c r="A9" s="204" t="s">
        <v>5</v>
      </c>
      <c r="B9" s="205"/>
      <c r="C9" s="205">
        <f>SUM(C3:C8)</f>
        <v>13.561824999999995</v>
      </c>
      <c r="D9" s="15"/>
      <c r="E9" s="15">
        <f>SUM(E3:E8)</f>
        <v>0.38699999999999962</v>
      </c>
      <c r="F9" s="15">
        <f t="shared" ref="F9:K9" si="1">SUM(F3:F8)</f>
        <v>0</v>
      </c>
      <c r="G9" s="15">
        <f t="shared" si="1"/>
        <v>2.1810000000000036</v>
      </c>
      <c r="H9" s="15">
        <f t="shared" si="1"/>
        <v>2.5299999999999967</v>
      </c>
      <c r="I9" s="15">
        <f t="shared" si="1"/>
        <v>4.1591489999999993</v>
      </c>
      <c r="J9" s="15">
        <f t="shared" si="1"/>
        <v>0.84967599999999976</v>
      </c>
      <c r="K9" s="15">
        <f t="shared" si="1"/>
        <v>3.4549999999999956</v>
      </c>
      <c r="L9" s="15"/>
    </row>
    <row r="10" spans="1:12" x14ac:dyDescent="0.35">
      <c r="A10" s="2"/>
      <c r="B10" s="2"/>
      <c r="C10" s="2"/>
      <c r="D10" s="2"/>
      <c r="E10" s="2"/>
      <c r="F10" s="2"/>
      <c r="G10" s="2"/>
      <c r="H10" s="2"/>
      <c r="I10" s="2"/>
      <c r="J10" s="2"/>
      <c r="K10" s="2"/>
      <c r="L10" s="2"/>
    </row>
    <row r="11" spans="1:12" x14ac:dyDescent="0.35">
      <c r="A11" s="2"/>
      <c r="B11" s="2"/>
      <c r="C11" s="2"/>
      <c r="D11" s="2"/>
      <c r="E11" s="2"/>
      <c r="F11" s="2"/>
      <c r="G11" s="2"/>
      <c r="H11" s="2"/>
      <c r="I11" s="2"/>
      <c r="J11" s="2"/>
      <c r="K11" s="2"/>
      <c r="L11" s="2"/>
    </row>
    <row r="12" spans="1:12" ht="246.5" x14ac:dyDescent="0.35">
      <c r="A12" s="2"/>
      <c r="B12" s="104" t="s">
        <v>121</v>
      </c>
      <c r="C12" s="104" t="s">
        <v>120</v>
      </c>
      <c r="D12" s="2"/>
      <c r="E12" s="2"/>
      <c r="F12" s="2"/>
      <c r="G12" s="2"/>
      <c r="H12" s="2"/>
      <c r="I12" s="2"/>
      <c r="J12" s="2"/>
      <c r="K12" s="2"/>
      <c r="L12" s="2"/>
    </row>
    <row r="13" spans="1:12" x14ac:dyDescent="0.35">
      <c r="A13" s="2"/>
      <c r="B13" s="2"/>
      <c r="C13" s="2"/>
      <c r="D13" s="2"/>
      <c r="E13" s="2"/>
      <c r="F13" s="2"/>
      <c r="G13" s="2"/>
      <c r="H13" s="2"/>
      <c r="I13" s="2"/>
      <c r="J13" s="2"/>
      <c r="K13" s="2"/>
      <c r="L13" s="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7044B-6388-45ED-B028-53FF21D3DED7}">
  <dimension ref="A1:AP29"/>
  <sheetViews>
    <sheetView zoomScale="85" zoomScaleNormal="85" workbookViewId="0">
      <pane xSplit="1" topLeftCell="B1" activePane="topRight" state="frozen"/>
      <selection pane="topRight" activeCell="AO3" sqref="AO3"/>
    </sheetView>
  </sheetViews>
  <sheetFormatPr baseColWidth="10" defaultRowHeight="14.5" x14ac:dyDescent="0.35"/>
  <cols>
    <col min="1" max="1" width="19.7265625" customWidth="1"/>
    <col min="2" max="2" width="20.453125" customWidth="1"/>
    <col min="3" max="3" width="22.7265625" customWidth="1"/>
    <col min="4" max="4" width="18.54296875" customWidth="1"/>
    <col min="5" max="5" width="23.26953125" customWidth="1"/>
    <col min="6" max="6" width="18.7265625" customWidth="1"/>
    <col min="7" max="9" width="21.1796875" customWidth="1"/>
    <col min="10" max="11" width="24.26953125" customWidth="1"/>
    <col min="12" max="13" width="25.1796875" customWidth="1"/>
    <col min="14" max="14" width="15.54296875" customWidth="1"/>
    <col min="15" max="15" width="17.453125" customWidth="1"/>
    <col min="16" max="16" width="16" customWidth="1"/>
    <col min="17" max="17" width="15.81640625" customWidth="1"/>
    <col min="18" max="18" width="18.453125" customWidth="1"/>
    <col min="19" max="19" width="6.7265625" bestFit="1" customWidth="1"/>
    <col min="20" max="20" width="15.54296875" customWidth="1"/>
    <col min="21" max="21" width="25" customWidth="1"/>
    <col min="22" max="24" width="19.7265625" customWidth="1"/>
    <col min="25" max="25" width="16.54296875" customWidth="1"/>
    <col min="26" max="26" width="21.453125" customWidth="1"/>
    <col min="27" max="28" width="26.26953125" customWidth="1"/>
    <col min="29" max="30" width="23.453125" customWidth="1"/>
    <col min="31" max="31" width="45.453125" customWidth="1"/>
    <col min="32" max="32" width="34.26953125" customWidth="1"/>
    <col min="33" max="34" width="17.81640625" customWidth="1"/>
    <col min="35" max="35" width="20.7265625" customWidth="1"/>
    <col min="36" max="36" width="34.26953125" customWidth="1"/>
    <col min="37" max="38" width="17.81640625" customWidth="1"/>
    <col min="39" max="39" width="21.453125" customWidth="1"/>
    <col min="40" max="40" width="12" bestFit="1" customWidth="1"/>
    <col min="41" max="41" width="17" customWidth="1"/>
    <col min="42" max="42" width="16.81640625" customWidth="1"/>
  </cols>
  <sheetData>
    <row r="1" spans="1:42" s="26" customFormat="1" x14ac:dyDescent="0.35">
      <c r="A1" s="25" t="s">
        <v>150</v>
      </c>
      <c r="B1" s="306" t="s">
        <v>77</v>
      </c>
      <c r="C1" s="307"/>
      <c r="D1" s="308"/>
      <c r="E1" s="304" t="s">
        <v>6</v>
      </c>
      <c r="F1" s="305"/>
      <c r="G1" s="305"/>
      <c r="H1" s="305"/>
      <c r="I1" s="305"/>
      <c r="J1" s="305"/>
      <c r="K1" s="305"/>
      <c r="L1" s="305"/>
      <c r="M1" s="305"/>
      <c r="N1" s="305"/>
      <c r="O1" s="305"/>
      <c r="P1" s="309" t="s">
        <v>162</v>
      </c>
      <c r="Q1" s="310"/>
      <c r="R1" s="310"/>
      <c r="S1" s="310"/>
      <c r="T1" s="311"/>
      <c r="U1" s="138" t="s">
        <v>86</v>
      </c>
      <c r="V1" s="292" t="s">
        <v>64</v>
      </c>
      <c r="W1" s="292"/>
      <c r="X1" s="293"/>
      <c r="Y1" s="312" t="s">
        <v>155</v>
      </c>
      <c r="Z1" s="313"/>
      <c r="AA1" s="305" t="s">
        <v>130</v>
      </c>
      <c r="AB1" s="314"/>
      <c r="AC1" s="291" t="s">
        <v>60</v>
      </c>
      <c r="AD1" s="292"/>
      <c r="AE1" s="292"/>
      <c r="AF1" s="292"/>
      <c r="AG1" s="292"/>
      <c r="AH1" s="293"/>
      <c r="AI1" s="294" t="s">
        <v>16</v>
      </c>
      <c r="AJ1" s="295"/>
      <c r="AK1" s="295"/>
      <c r="AL1" s="296"/>
      <c r="AM1" s="302" t="s">
        <v>76</v>
      </c>
      <c r="AN1" s="303"/>
      <c r="AO1" s="300" t="s">
        <v>148</v>
      </c>
      <c r="AP1" s="301"/>
    </row>
    <row r="2" spans="1:42" s="21" customFormat="1" ht="90.5" x14ac:dyDescent="0.35">
      <c r="A2" s="20"/>
      <c r="B2" s="180" t="s">
        <v>43</v>
      </c>
      <c r="C2" s="52" t="s">
        <v>39</v>
      </c>
      <c r="D2" s="133" t="s">
        <v>29</v>
      </c>
      <c r="E2" s="50" t="s">
        <v>96</v>
      </c>
      <c r="F2" s="65" t="s">
        <v>36</v>
      </c>
      <c r="G2" s="65" t="s">
        <v>33</v>
      </c>
      <c r="H2" s="21" t="s">
        <v>27</v>
      </c>
      <c r="I2" s="54" t="s">
        <v>164</v>
      </c>
      <c r="J2" s="65" t="s">
        <v>90</v>
      </c>
      <c r="K2" s="65" t="s">
        <v>91</v>
      </c>
      <c r="L2" s="65" t="s">
        <v>92</v>
      </c>
      <c r="M2" s="65" t="s">
        <v>93</v>
      </c>
      <c r="N2" s="53" t="s">
        <v>94</v>
      </c>
      <c r="O2" s="53" t="s">
        <v>95</v>
      </c>
      <c r="P2" s="20" t="s">
        <v>31</v>
      </c>
      <c r="Q2" s="69" t="s">
        <v>123</v>
      </c>
      <c r="R2" s="69" t="s">
        <v>32</v>
      </c>
      <c r="S2" s="21" t="s">
        <v>26</v>
      </c>
      <c r="T2" s="92" t="s">
        <v>70</v>
      </c>
      <c r="U2" s="211" t="s">
        <v>124</v>
      </c>
      <c r="V2" s="51" t="s">
        <v>71</v>
      </c>
      <c r="W2" s="65" t="s">
        <v>163</v>
      </c>
      <c r="X2" s="79" t="s">
        <v>99</v>
      </c>
      <c r="Y2" s="51" t="s">
        <v>165</v>
      </c>
      <c r="Z2" s="134" t="s">
        <v>166</v>
      </c>
      <c r="AA2" s="87" t="s">
        <v>128</v>
      </c>
      <c r="AB2" s="89" t="s">
        <v>129</v>
      </c>
      <c r="AC2" s="90" t="s">
        <v>136</v>
      </c>
      <c r="AD2" s="54" t="s">
        <v>135</v>
      </c>
      <c r="AE2" s="69" t="s">
        <v>138</v>
      </c>
      <c r="AF2" s="69" t="s">
        <v>137</v>
      </c>
      <c r="AG2" s="120" t="s">
        <v>141</v>
      </c>
      <c r="AH2" s="121" t="s">
        <v>142</v>
      </c>
      <c r="AI2" s="65" t="s">
        <v>143</v>
      </c>
      <c r="AJ2" s="88" t="s">
        <v>144</v>
      </c>
      <c r="AK2" s="226" t="s">
        <v>100</v>
      </c>
      <c r="AL2" s="121" t="s">
        <v>65</v>
      </c>
      <c r="AM2" s="24" t="s">
        <v>52</v>
      </c>
      <c r="AN2" s="89" t="s">
        <v>53</v>
      </c>
      <c r="AO2" s="20" t="s">
        <v>157</v>
      </c>
      <c r="AP2" s="258" t="s">
        <v>149</v>
      </c>
    </row>
    <row r="3" spans="1:42" s="172" customFormat="1" x14ac:dyDescent="0.35">
      <c r="A3" t="s">
        <v>4</v>
      </c>
      <c r="B3" s="181">
        <f>'Données SDES converties (TWh)'!B3</f>
        <v>1251.3879999999999</v>
      </c>
      <c r="C3" s="147">
        <f>'Données SDES converties (TWh)'!C3</f>
        <v>0</v>
      </c>
      <c r="D3" s="148">
        <f>'Données SDES converties (TWh)'!D3</f>
        <v>0</v>
      </c>
      <c r="E3" s="149">
        <f>'Données SDES converties (TWh)'!E3</f>
        <v>1251.3879999999999</v>
      </c>
      <c r="F3" s="150">
        <v>0.32</v>
      </c>
      <c r="G3" s="151">
        <f>E3*F3</f>
        <v>400.44416000000001</v>
      </c>
      <c r="H3" s="152"/>
      <c r="I3" s="168">
        <f>G3*$I$10/$G$10</f>
        <v>345.59436522748155</v>
      </c>
      <c r="J3" s="154">
        <f>G3*$J$10/(G$3+G$4)</f>
        <v>60.695719450843086</v>
      </c>
      <c r="K3" s="153">
        <f>E3*J$10/I$10</f>
        <v>192.20665359477121</v>
      </c>
      <c r="L3" s="154">
        <f>'Mix électriques EU (TWh)'!C3</f>
        <v>3.4401036399999998</v>
      </c>
      <c r="M3" s="153">
        <f>L3*E3/I3</f>
        <v>12.456523737065824</v>
      </c>
      <c r="N3" s="151">
        <f>I3+L3-J3</f>
        <v>288.33874941663851</v>
      </c>
      <c r="O3" s="151">
        <f>E3+M3-K3</f>
        <v>1071.6378701422946</v>
      </c>
      <c r="P3" s="155"/>
      <c r="Q3" s="208">
        <f t="shared" ref="Q3:Q8" si="0">B3+C3-D3-E3</f>
        <v>0</v>
      </c>
      <c r="R3" s="209">
        <v>0</v>
      </c>
      <c r="S3" s="147">
        <v>0</v>
      </c>
      <c r="T3" s="156">
        <f>Q3-R3-S3</f>
        <v>0</v>
      </c>
      <c r="U3" s="157">
        <f>I3</f>
        <v>345.59436522748155</v>
      </c>
      <c r="V3" s="158">
        <f t="shared" ref="V3:V9" si="1">M3+C3</f>
        <v>12.456523737065824</v>
      </c>
      <c r="W3" s="208">
        <v>0</v>
      </c>
      <c r="X3" s="159">
        <f t="shared" ref="X3:X9" si="2">W3+L3</f>
        <v>3.4401036399999998</v>
      </c>
      <c r="Y3" s="160">
        <f>O3+Q3-R3</f>
        <v>1071.6378701422946</v>
      </c>
      <c r="Z3" s="161">
        <f>N3+T3</f>
        <v>288.33874941663851</v>
      </c>
      <c r="AA3" s="158">
        <f>D3+K3</f>
        <v>192.20665359477121</v>
      </c>
      <c r="AB3" s="158">
        <f>D3+J3</f>
        <v>60.695719450843086</v>
      </c>
      <c r="AC3" s="167">
        <f>'Données TSP recalibrées (TWh)'!Z3</f>
        <v>473.75366354091585</v>
      </c>
      <c r="AD3" s="168">
        <f t="shared" ref="AD3:AD8" si="3">AC3*Z3/Y3</f>
        <v>127.46986895750553</v>
      </c>
      <c r="AE3" s="169"/>
      <c r="AF3" s="169"/>
      <c r="AG3" s="164"/>
      <c r="AH3" s="170"/>
      <c r="AI3" s="162">
        <f>'Données TSP recalibrées (TWh)'!AD3</f>
        <v>72.187049497454936</v>
      </c>
      <c r="AJ3" s="224"/>
      <c r="AK3" s="234"/>
      <c r="AL3" s="159"/>
      <c r="AM3" s="171">
        <f>'Données TSP recalibrées (TWh)'!AH3</f>
        <v>849.61775280338873</v>
      </c>
      <c r="AN3" s="166"/>
      <c r="AO3" s="155"/>
      <c r="AP3" s="156"/>
    </row>
    <row r="4" spans="1:42" s="172" customFormat="1" x14ac:dyDescent="0.35">
      <c r="A4" t="s">
        <v>1</v>
      </c>
      <c r="B4" s="181">
        <f>'Données SDES converties (TWh)'!B4</f>
        <v>104.43740000000001</v>
      </c>
      <c r="C4" s="147">
        <f>'Données SDES converties (TWh)'!C4</f>
        <v>0</v>
      </c>
      <c r="D4" s="148">
        <f>'Données SDES converties (TWh)'!D4</f>
        <v>0</v>
      </c>
      <c r="E4" s="149">
        <f>'Données SDES converties (TWh)'!E4</f>
        <v>104.43740000000001</v>
      </c>
      <c r="F4" s="150">
        <f>'Données SDES (Mtep)'!F4</f>
        <v>1</v>
      </c>
      <c r="G4" s="151">
        <f t="shared" ref="G4:G9" si="4">E4*F4</f>
        <v>104.43740000000001</v>
      </c>
      <c r="H4" s="152"/>
      <c r="I4" s="168">
        <f t="shared" ref="I4:I9" si="5">G4*$I$10/$G$10</f>
        <v>90.132359425615249</v>
      </c>
      <c r="J4" s="154">
        <f>G4*$J$10/(G$3+G$4)</f>
        <v>15.829680549156917</v>
      </c>
      <c r="K4" s="153">
        <f t="shared" ref="K4:K9" si="6">E4*J$10/I$10</f>
        <v>16.041038562091504</v>
      </c>
      <c r="L4" s="154">
        <f>'Mix électriques EU (TWh)'!C4</f>
        <v>6.2720354799999978</v>
      </c>
      <c r="M4" s="153">
        <f t="shared" ref="M4:M8" si="7">L4*E4/I4</f>
        <v>7.2674795424560203</v>
      </c>
      <c r="N4" s="151">
        <f t="shared" ref="N4:N9" si="8">I4+L4-J4</f>
        <v>80.57471435645833</v>
      </c>
      <c r="O4" s="151">
        <f t="shared" ref="O4:O9" si="9">E4+M4-K4</f>
        <v>95.663840980364526</v>
      </c>
      <c r="P4" s="155"/>
      <c r="Q4" s="208">
        <f t="shared" si="0"/>
        <v>0</v>
      </c>
      <c r="R4" s="209">
        <v>0</v>
      </c>
      <c r="S4" s="147">
        <v>0</v>
      </c>
      <c r="T4" s="156">
        <f t="shared" ref="T4:T8" si="10">Q4-R4-S4</f>
        <v>0</v>
      </c>
      <c r="U4" s="173">
        <f>I4</f>
        <v>90.132359425615249</v>
      </c>
      <c r="V4" s="158">
        <f t="shared" si="1"/>
        <v>7.2674795424560203</v>
      </c>
      <c r="W4" s="208">
        <v>0</v>
      </c>
      <c r="X4" s="166">
        <f t="shared" si="2"/>
        <v>6.2720354799999978</v>
      </c>
      <c r="Y4" s="160">
        <f t="shared" ref="Y4:Y9" si="11">O4+Q4-R4</f>
        <v>95.663840980364526</v>
      </c>
      <c r="Z4" s="161">
        <f t="shared" ref="Z4:Z9" si="12">N4+T4</f>
        <v>80.57471435645833</v>
      </c>
      <c r="AA4" s="158">
        <f>D4+K4</f>
        <v>16.041038562091504</v>
      </c>
      <c r="AB4" s="158">
        <f>D4+J4</f>
        <v>15.829680549156917</v>
      </c>
      <c r="AC4" s="167">
        <f>'Données TSP recalibrées (TWh)'!Z4</f>
        <v>35.246621026588542</v>
      </c>
      <c r="AD4" s="168">
        <f t="shared" si="3"/>
        <v>29.687146074666092</v>
      </c>
      <c r="AE4" s="169"/>
      <c r="AF4" s="169"/>
      <c r="AG4" s="164"/>
      <c r="AH4" s="170"/>
      <c r="AI4" s="162">
        <f>'Données TSP recalibrées (TWh)'!AD4</f>
        <v>52.784759720452165</v>
      </c>
      <c r="AJ4" s="163"/>
      <c r="AK4" s="234"/>
      <c r="AL4" s="166"/>
      <c r="AM4" s="171">
        <f>'Données TSP recalibrées (TWh)'!AH4</f>
        <v>129.75251699610942</v>
      </c>
      <c r="AN4" s="166"/>
      <c r="AO4" s="155"/>
      <c r="AP4" s="156"/>
    </row>
    <row r="5" spans="1:42" s="172" customFormat="1" x14ac:dyDescent="0.35">
      <c r="A5" t="s">
        <v>19</v>
      </c>
      <c r="B5" s="181">
        <f>'Données SDES converties (TWh)'!B5</f>
        <v>234.80970000000002</v>
      </c>
      <c r="C5" s="147">
        <f>'Données SDES converties (TWh)'!C5</f>
        <v>12.793000000000001</v>
      </c>
      <c r="D5" s="148">
        <f>'Données SDES converties (TWh)'!D5</f>
        <v>6.5128000000000013</v>
      </c>
      <c r="E5" s="149">
        <f>'Données SDES converties (TWh)'!E5</f>
        <v>66.523600000000002</v>
      </c>
      <c r="F5" s="150">
        <f>'Données SDES (Mtep)'!F5</f>
        <v>0.38</v>
      </c>
      <c r="G5" s="151">
        <f t="shared" si="4"/>
        <v>25.278968000000003</v>
      </c>
      <c r="H5" s="152"/>
      <c r="I5" s="168">
        <f t="shared" si="5"/>
        <v>21.816447265870526</v>
      </c>
      <c r="J5" s="154">
        <v>0</v>
      </c>
      <c r="K5" s="153">
        <v>0</v>
      </c>
      <c r="L5" s="154">
        <f>'Mix électriques EU (TWh)'!C5</f>
        <v>0</v>
      </c>
      <c r="M5" s="153">
        <f t="shared" si="7"/>
        <v>0</v>
      </c>
      <c r="N5" s="151">
        <f t="shared" si="8"/>
        <v>21.816447265870526</v>
      </c>
      <c r="O5" s="151">
        <f t="shared" si="9"/>
        <v>66.523600000000002</v>
      </c>
      <c r="P5" s="155"/>
      <c r="Q5" s="208">
        <f t="shared" si="0"/>
        <v>174.56630000000001</v>
      </c>
      <c r="R5" s="209">
        <v>0</v>
      </c>
      <c r="S5" s="147">
        <f>'Données SDES converties (TWh)'!S5</f>
        <v>1.6282000000000003</v>
      </c>
      <c r="T5" s="156">
        <f>Q5-R5-S5</f>
        <v>172.93810000000002</v>
      </c>
      <c r="U5" s="173">
        <f t="shared" ref="U5" si="13">B5 * (  I5/(B5+C5-D5) + T5/(B5+C5-D5) )</f>
        <v>189.68134632406782</v>
      </c>
      <c r="V5" s="158">
        <f t="shared" si="1"/>
        <v>12.793000000000001</v>
      </c>
      <c r="W5" s="208">
        <f>C5 * (  I5/(B5+C5-D5) + T5/(B5+C5-D5) )</f>
        <v>10.334298214783288</v>
      </c>
      <c r="X5" s="166">
        <f t="shared" si="2"/>
        <v>10.334298214783288</v>
      </c>
      <c r="Y5" s="160">
        <f t="shared" si="11"/>
        <v>241.0899</v>
      </c>
      <c r="Z5" s="161">
        <f>N5+T5</f>
        <v>194.75454726587054</v>
      </c>
      <c r="AA5" s="165">
        <f>D5+K5</f>
        <v>6.5128000000000013</v>
      </c>
      <c r="AB5" s="174">
        <f>D5 * (  I5/(B5+C5-D5) + T5/(B5+C5-D5) ) +J5</f>
        <v>5.2610972729805843</v>
      </c>
      <c r="AC5" s="167">
        <f>'Données TSP recalibrées (TWh)'!Z5</f>
        <v>134.27475499818149</v>
      </c>
      <c r="AD5" s="168">
        <f t="shared" si="3"/>
        <v>108.46833118644342</v>
      </c>
      <c r="AE5" s="169"/>
      <c r="AF5" s="169"/>
      <c r="AG5" s="164"/>
      <c r="AH5" s="170"/>
      <c r="AI5" s="162">
        <f>'Données TSP recalibrées (TWh)'!AD5</f>
        <v>171.92747833820374</v>
      </c>
      <c r="AJ5" s="163"/>
      <c r="AK5" s="234"/>
      <c r="AL5" s="166"/>
      <c r="AM5" s="171">
        <f>'Données TSP recalibrées (TWh)'!AH5</f>
        <v>275.88364168753026</v>
      </c>
      <c r="AN5" s="166"/>
      <c r="AO5" s="155"/>
      <c r="AP5" s="156"/>
    </row>
    <row r="6" spans="1:42" s="172" customFormat="1" x14ac:dyDescent="0.35">
      <c r="A6" t="s">
        <v>7</v>
      </c>
      <c r="B6" s="181">
        <f>'Données SDES converties (TWh)'!B6</f>
        <v>11.63</v>
      </c>
      <c r="C6" s="147">
        <f>'Données SDES converties (TWh)'!C6</f>
        <v>904.84888999999998</v>
      </c>
      <c r="D6" s="148">
        <f>'Données SDES converties (TWh)'!D6</f>
        <v>0</v>
      </c>
      <c r="E6" s="149">
        <f>'Données SDES converties (TWh)'!E6</f>
        <v>18.142800000000001</v>
      </c>
      <c r="F6" s="150">
        <f>'Données SDES (Mtep)'!F6</f>
        <v>0.38</v>
      </c>
      <c r="G6" s="151">
        <f t="shared" si="4"/>
        <v>6.8942640000000006</v>
      </c>
      <c r="H6" s="152"/>
      <c r="I6" s="168">
        <f t="shared" si="5"/>
        <v>5.9499401634192344</v>
      </c>
      <c r="J6" s="154">
        <v>0</v>
      </c>
      <c r="K6" s="153">
        <v>0</v>
      </c>
      <c r="L6" s="154">
        <f>'Mix électriques EU (TWh)'!C6</f>
        <v>0</v>
      </c>
      <c r="M6" s="153">
        <f t="shared" si="7"/>
        <v>0</v>
      </c>
      <c r="N6" s="151">
        <f t="shared" si="8"/>
        <v>5.9499401634192344</v>
      </c>
      <c r="O6" s="151">
        <f t="shared" si="9"/>
        <v>18.142800000000001</v>
      </c>
      <c r="P6" s="155"/>
      <c r="Q6" s="208">
        <f t="shared" si="0"/>
        <v>898.33609000000001</v>
      </c>
      <c r="R6" s="209">
        <f>'Données SDES converties (TWh)'!R6</f>
        <v>88.736900000000006</v>
      </c>
      <c r="S6" s="147">
        <f>'Données SDES converties (TWh)'!S6</f>
        <v>29.423899999999978</v>
      </c>
      <c r="T6" s="156">
        <f t="shared" si="10"/>
        <v>780.17529000000002</v>
      </c>
      <c r="U6" s="173">
        <f>B6 * (  I6/(B6+C6-D6) + T6/(B6+C6-D6) )</f>
        <v>9.9758287141786397</v>
      </c>
      <c r="V6" s="158">
        <f t="shared" si="1"/>
        <v>904.84888999999998</v>
      </c>
      <c r="W6" s="208">
        <f>C6 * (  I6/(B6+C6-D6) + T6/(B6+C6-D6) )</f>
        <v>776.1494014492406</v>
      </c>
      <c r="X6" s="166">
        <f t="shared" si="2"/>
        <v>776.1494014492406</v>
      </c>
      <c r="Y6" s="160">
        <f t="shared" si="11"/>
        <v>827.74198999999999</v>
      </c>
      <c r="Z6" s="161">
        <f>N6+T6</f>
        <v>786.12523016341925</v>
      </c>
      <c r="AA6" s="165">
        <f t="shared" ref="AA6:AA9" si="14">D6+K6</f>
        <v>0</v>
      </c>
      <c r="AB6" s="158">
        <f t="shared" ref="AB6:AB9" si="15">D6+J6</f>
        <v>0</v>
      </c>
      <c r="AC6" s="175">
        <f>'Données TSP recalibrées (TWh)'!Z6</f>
        <v>4.9175185970546522</v>
      </c>
      <c r="AD6" s="168">
        <f t="shared" si="3"/>
        <v>4.670278281934789</v>
      </c>
      <c r="AE6" s="169"/>
      <c r="AF6" s="169"/>
      <c r="AG6" s="164"/>
      <c r="AH6" s="170"/>
      <c r="AI6" s="299">
        <f>'Données TSP recalibrées (TWh)'!AD6</f>
        <v>1963.6567534252267</v>
      </c>
      <c r="AJ6" s="163"/>
      <c r="AK6" s="290"/>
      <c r="AL6" s="166"/>
      <c r="AM6" s="289">
        <f>'Données TSP recalibrées (TWh)'!AH6</f>
        <v>1968.022117831476</v>
      </c>
      <c r="AN6" s="166"/>
      <c r="AO6" s="149">
        <f>'Données SDES converties (TWh)'!AA6</f>
        <v>235.62380000000005</v>
      </c>
      <c r="AP6" s="156"/>
    </row>
    <row r="7" spans="1:42" s="172" customFormat="1" x14ac:dyDescent="0.35">
      <c r="A7" t="s">
        <v>20</v>
      </c>
      <c r="B7" s="181">
        <f>'Données SDES converties (TWh)'!B7</f>
        <v>0.11630000000000001</v>
      </c>
      <c r="C7" s="147">
        <f>'Données SDES converties (TWh)'!C7</f>
        <v>427.05360000000002</v>
      </c>
      <c r="D7" s="148">
        <f>'Données SDES converties (TWh)'!D7</f>
        <v>0</v>
      </c>
      <c r="E7" s="149">
        <f>'Données SDES converties (TWh)'!E7</f>
        <v>67.454000000000008</v>
      </c>
      <c r="F7" s="150">
        <f>'Données SDES (Mtep)'!F7</f>
        <v>0.44</v>
      </c>
      <c r="G7" s="151">
        <f t="shared" si="4"/>
        <v>29.679760000000005</v>
      </c>
      <c r="H7" s="152"/>
      <c r="I7" s="168">
        <f t="shared" si="5"/>
        <v>25.61445225547552</v>
      </c>
      <c r="J7" s="154">
        <v>0</v>
      </c>
      <c r="K7" s="153">
        <v>0</v>
      </c>
      <c r="L7" s="154">
        <f>'Mix électriques EU (TWh)'!C7</f>
        <v>0.1818899999999998</v>
      </c>
      <c r="M7" s="153">
        <f t="shared" si="7"/>
        <v>0.47899552711993826</v>
      </c>
      <c r="N7" s="151">
        <f t="shared" si="8"/>
        <v>25.796342255475519</v>
      </c>
      <c r="O7" s="151">
        <f t="shared" si="9"/>
        <v>67.932995527119942</v>
      </c>
      <c r="P7" s="155"/>
      <c r="Q7" s="208">
        <f t="shared" si="0"/>
        <v>359.71590000000003</v>
      </c>
      <c r="R7" s="209">
        <v>0</v>
      </c>
      <c r="S7" s="147">
        <f>'Données SDES converties (TWh)'!S7</f>
        <v>15.467899999999998</v>
      </c>
      <c r="T7" s="156">
        <f t="shared" si="10"/>
        <v>344.24800000000005</v>
      </c>
      <c r="U7" s="173">
        <f t="shared" ref="U7:U8" si="16">B7 * (  I7/(B7+C7-D7) + T7/(B7+C7-D7) )</f>
        <v>0.1006976455909272</v>
      </c>
      <c r="V7" s="158">
        <f t="shared" si="1"/>
        <v>427.53259552711995</v>
      </c>
      <c r="W7" s="208">
        <f>C7 * (  I7/(B7+C7-D7) + T7/(B7+C7-D7) )</f>
        <v>369.76175460988463</v>
      </c>
      <c r="X7" s="166">
        <f t="shared" si="2"/>
        <v>369.94364460988464</v>
      </c>
      <c r="Y7" s="160">
        <f t="shared" si="11"/>
        <v>427.64889552711998</v>
      </c>
      <c r="Z7" s="161">
        <f t="shared" si="12"/>
        <v>370.04434225547556</v>
      </c>
      <c r="AA7" s="165">
        <f t="shared" si="14"/>
        <v>0</v>
      </c>
      <c r="AB7" s="158">
        <f t="shared" si="15"/>
        <v>0</v>
      </c>
      <c r="AC7" s="175">
        <v>0</v>
      </c>
      <c r="AD7" s="168">
        <f t="shared" si="3"/>
        <v>0</v>
      </c>
      <c r="AE7" s="169"/>
      <c r="AF7" s="169"/>
      <c r="AG7" s="164"/>
      <c r="AH7" s="170"/>
      <c r="AI7" s="299"/>
      <c r="AJ7" s="163"/>
      <c r="AK7" s="290"/>
      <c r="AL7" s="166"/>
      <c r="AM7" s="289"/>
      <c r="AN7" s="166"/>
      <c r="AO7" s="149">
        <f>'Données SDES converties (TWh)'!AA7</f>
        <v>53.492433830710951</v>
      </c>
      <c r="AP7" s="156"/>
    </row>
    <row r="8" spans="1:42" s="172" customFormat="1" x14ac:dyDescent="0.35">
      <c r="A8" t="s">
        <v>2</v>
      </c>
      <c r="B8" s="181">
        <f>'Données SDES converties (TWh)'!B8</f>
        <v>0</v>
      </c>
      <c r="C8" s="147">
        <f>'Données SDES converties (TWh)'!C8</f>
        <v>105.7167</v>
      </c>
      <c r="D8" s="148">
        <f>'Données SDES converties (TWh)'!D8</f>
        <v>0</v>
      </c>
      <c r="E8" s="149">
        <f>'Données SDES converties (TWh)'!E8</f>
        <v>33.029200000000003</v>
      </c>
      <c r="F8" s="150">
        <f>'Données SDES (Mtep)'!F8</f>
        <v>0.32</v>
      </c>
      <c r="G8" s="151">
        <f t="shared" si="4"/>
        <v>10.569344000000001</v>
      </c>
      <c r="H8" s="152"/>
      <c r="I8" s="168">
        <f t="shared" si="5"/>
        <v>9.1216356621379902</v>
      </c>
      <c r="J8" s="154">
        <v>0</v>
      </c>
      <c r="K8" s="153">
        <v>0</v>
      </c>
      <c r="L8" s="154">
        <f>'Mix électriques EU (TWh)'!C8</f>
        <v>3.6677958799999972</v>
      </c>
      <c r="M8" s="153">
        <f t="shared" si="7"/>
        <v>13.280991279068614</v>
      </c>
      <c r="N8" s="151">
        <f t="shared" si="8"/>
        <v>12.789431542137986</v>
      </c>
      <c r="O8" s="151">
        <f>E8+M8-K8</f>
        <v>46.310191279068619</v>
      </c>
      <c r="P8" s="155"/>
      <c r="Q8" s="208">
        <f t="shared" si="0"/>
        <v>72.6875</v>
      </c>
      <c r="R8" s="209">
        <v>0</v>
      </c>
      <c r="S8" s="147">
        <f>'Données SDES converties (TWh)'!S8</f>
        <v>56.289200000000001</v>
      </c>
      <c r="T8" s="156">
        <f t="shared" si="10"/>
        <v>16.398299999999999</v>
      </c>
      <c r="U8" s="173">
        <f t="shared" si="16"/>
        <v>0</v>
      </c>
      <c r="V8" s="158">
        <f t="shared" si="1"/>
        <v>118.99769127906862</v>
      </c>
      <c r="W8" s="208">
        <f>C8 * (  I8/(B8+C8-D8) + T8/(B8+C8-D8) )</f>
        <v>25.519935662137989</v>
      </c>
      <c r="X8" s="166">
        <f t="shared" si="2"/>
        <v>29.187731542137985</v>
      </c>
      <c r="Y8" s="160">
        <f t="shared" si="11"/>
        <v>118.99769127906862</v>
      </c>
      <c r="Z8" s="161">
        <f t="shared" si="12"/>
        <v>29.187731542137985</v>
      </c>
      <c r="AA8" s="165">
        <f t="shared" si="14"/>
        <v>0</v>
      </c>
      <c r="AB8" s="158">
        <f t="shared" si="15"/>
        <v>0</v>
      </c>
      <c r="AC8" s="167">
        <f>'Données TSP recalibrées (TWh)'!Z8</f>
        <v>0</v>
      </c>
      <c r="AD8" s="168">
        <f t="shared" si="3"/>
        <v>0</v>
      </c>
      <c r="AE8" s="169"/>
      <c r="AF8" s="169"/>
      <c r="AG8" s="164"/>
      <c r="AH8" s="170"/>
      <c r="AI8" s="162">
        <f>'Données TSP recalibrées (TWh)'!AD8</f>
        <v>391.61964311763666</v>
      </c>
      <c r="AJ8" s="163"/>
      <c r="AK8" s="234"/>
      <c r="AL8" s="166"/>
      <c r="AM8" s="171">
        <f>'Données TSP recalibrées (TWh)'!AH8</f>
        <v>391.61964311763666</v>
      </c>
      <c r="AN8" s="166"/>
      <c r="AO8" s="155"/>
      <c r="AP8" s="156"/>
    </row>
    <row r="9" spans="1:42" s="172" customFormat="1" x14ac:dyDescent="0.35">
      <c r="A9" t="s">
        <v>3</v>
      </c>
      <c r="B9" s="181">
        <f>'Données SDES converties (TWh)'!B9</f>
        <v>0</v>
      </c>
      <c r="C9" s="147">
        <f>'Données SDES converties (TWh)'!C9</f>
        <v>0</v>
      </c>
      <c r="D9" s="148">
        <f>'Données SDES converties (TWh)'!D9</f>
        <v>0</v>
      </c>
      <c r="E9" s="149">
        <f>'Données SDES converties (TWh)'!E9</f>
        <v>0</v>
      </c>
      <c r="F9" s="150">
        <f>'Données SDES (Mtep)'!F9</f>
        <v>0</v>
      </c>
      <c r="G9" s="151">
        <f t="shared" si="4"/>
        <v>0</v>
      </c>
      <c r="H9" s="152"/>
      <c r="I9" s="168">
        <f t="shared" si="5"/>
        <v>0</v>
      </c>
      <c r="J9" s="154">
        <f t="shared" ref="J9" si="17">G9*$J$10/$G$10</f>
        <v>0</v>
      </c>
      <c r="K9" s="153">
        <f t="shared" si="6"/>
        <v>0</v>
      </c>
      <c r="L9" s="154">
        <f>'Données SDES converties (TWh)'!L9</f>
        <v>0</v>
      </c>
      <c r="M9" s="153"/>
      <c r="N9" s="151">
        <f t="shared" si="8"/>
        <v>0</v>
      </c>
      <c r="O9" s="151">
        <f t="shared" si="9"/>
        <v>0</v>
      </c>
      <c r="P9" s="149">
        <f>'Données SDES converties (TWh)'!P9</f>
        <v>52.683900000000008</v>
      </c>
      <c r="Q9" s="208"/>
      <c r="R9" s="209">
        <f>'Données SDES converties (TWh)'!R9</f>
        <v>0</v>
      </c>
      <c r="S9" s="147">
        <f>'Données SDES converties (TWh)'!S9</f>
        <v>6.9780000000000006</v>
      </c>
      <c r="T9" s="156">
        <f>P9-R9-S9</f>
        <v>45.705900000000007</v>
      </c>
      <c r="U9" s="176">
        <f>T9</f>
        <v>45.705900000000007</v>
      </c>
      <c r="V9" s="158">
        <f t="shared" si="1"/>
        <v>0</v>
      </c>
      <c r="W9" s="208">
        <v>0</v>
      </c>
      <c r="X9" s="177">
        <f t="shared" si="2"/>
        <v>0</v>
      </c>
      <c r="Y9" s="160">
        <f t="shared" si="11"/>
        <v>0</v>
      </c>
      <c r="Z9" s="161">
        <f t="shared" si="12"/>
        <v>45.705900000000007</v>
      </c>
      <c r="AA9" s="165">
        <f t="shared" si="14"/>
        <v>0</v>
      </c>
      <c r="AB9" s="158">
        <f t="shared" si="15"/>
        <v>0</v>
      </c>
      <c r="AC9" s="167">
        <f>'Données TSP recalibrées (TWh)'!Z9</f>
        <v>2.6966763250825716E-2</v>
      </c>
      <c r="AD9" s="168">
        <f>AC9*T9/P9</f>
        <v>2.3395006528862044E-2</v>
      </c>
      <c r="AE9" s="169"/>
      <c r="AF9" s="169"/>
      <c r="AG9" s="164"/>
      <c r="AH9" s="170"/>
      <c r="AI9" s="162">
        <f>'Données TSP recalibrées (TWh)'!AD9</f>
        <v>1.2067239972228656</v>
      </c>
      <c r="AJ9" s="225"/>
      <c r="AK9" s="234"/>
      <c r="AL9" s="166"/>
      <c r="AM9" s="171">
        <f>'Données TSP recalibrées (TWh)'!AH9</f>
        <v>1.3845071475403961</v>
      </c>
      <c r="AN9" s="166"/>
      <c r="AO9" s="155"/>
      <c r="AP9" s="156"/>
    </row>
    <row r="10" spans="1:42" s="13" customFormat="1" x14ac:dyDescent="0.35">
      <c r="A10" s="12" t="s">
        <v>5</v>
      </c>
      <c r="B10" s="142">
        <f>SUM(B3:B9)</f>
        <v>1602.3814</v>
      </c>
      <c r="C10" s="33">
        <f>SUM(C3:C9)</f>
        <v>1450.41219</v>
      </c>
      <c r="D10" s="33">
        <f>SUM(D3:D9)</f>
        <v>6.5128000000000013</v>
      </c>
      <c r="E10" s="58">
        <f>SUM(E3:E9)</f>
        <v>1540.9749999999999</v>
      </c>
      <c r="G10" s="13">
        <f>SUM(G3:G9)</f>
        <v>577.30389600000001</v>
      </c>
      <c r="H10" s="107">
        <f>'Données SDES converties (TWh)'!H10</f>
        <v>575.68500000000006</v>
      </c>
      <c r="I10" s="189">
        <f>'Données SDES converties (TWh)'!I10</f>
        <v>498.22920000000005</v>
      </c>
      <c r="J10" s="189">
        <f>'Données SDES converties (TWh)'!J10</f>
        <v>76.525400000000005</v>
      </c>
      <c r="K10" s="13">
        <f t="shared" ref="K10:P10" si="18">SUM(K3:K9)</f>
        <v>208.24769215686271</v>
      </c>
      <c r="L10" s="28">
        <f t="shared" si="18"/>
        <v>13.561824999999995</v>
      </c>
      <c r="M10" s="13">
        <f t="shared" si="18"/>
        <v>33.483990085710396</v>
      </c>
      <c r="N10" s="33">
        <f t="shared" si="18"/>
        <v>435.26562500000011</v>
      </c>
      <c r="O10" s="28">
        <f t="shared" si="18"/>
        <v>1366.2112979288479</v>
      </c>
      <c r="P10" s="12">
        <f t="shared" si="18"/>
        <v>52.683900000000008</v>
      </c>
      <c r="Q10" s="210">
        <f t="shared" ref="Q10:R10" si="19">SUM(Q3:Q9)</f>
        <v>1505.3057899999999</v>
      </c>
      <c r="R10" s="210">
        <f t="shared" si="19"/>
        <v>88.736900000000006</v>
      </c>
      <c r="S10" s="13">
        <f t="shared" ref="S10:Y10" si="20">SUM(S3:S9)</f>
        <v>109.78719999999997</v>
      </c>
      <c r="T10" s="93">
        <f t="shared" si="20"/>
        <v>1359.46559</v>
      </c>
      <c r="U10" s="110">
        <f t="shared" si="20"/>
        <v>681.19049733693419</v>
      </c>
      <c r="V10" s="112">
        <f t="shared" si="20"/>
        <v>1483.8961800857105</v>
      </c>
      <c r="W10" s="13">
        <f t="shared" si="20"/>
        <v>1181.7653899360466</v>
      </c>
      <c r="X10" s="80">
        <f t="shared" si="20"/>
        <v>1195.3272149360464</v>
      </c>
      <c r="Y10" s="19">
        <f t="shared" si="20"/>
        <v>2782.7801879288477</v>
      </c>
      <c r="Z10" s="264">
        <f>SUM(Z3:Z9)</f>
        <v>1794.731215</v>
      </c>
      <c r="AA10" s="113">
        <f t="shared" ref="AA10:AD10" si="21">SUM(AA3:AA9)</f>
        <v>214.76049215686271</v>
      </c>
      <c r="AB10" s="113">
        <f t="shared" si="21"/>
        <v>81.786497272980583</v>
      </c>
      <c r="AC10" s="142">
        <f t="shared" si="21"/>
        <v>648.21952492599144</v>
      </c>
      <c r="AD10" s="60">
        <f t="shared" si="21"/>
        <v>270.31901950707868</v>
      </c>
      <c r="AE10" s="60">
        <f>AH10-AD10+AB10</f>
        <v>333.54618939998511</v>
      </c>
      <c r="AF10" s="71">
        <f>AF11+ (AE10-AE11)* ((X3+X4+X5)/(V3+V4+V5))</f>
        <v>407.0742520191564</v>
      </c>
      <c r="AG10" s="111">
        <f>AC10 - AA10 + AF10</f>
        <v>840.53328478828507</v>
      </c>
      <c r="AH10" s="91">
        <f>'Données TSP recalibrées (TWh)'!AC10</f>
        <v>522.07871163408322</v>
      </c>
      <c r="AI10" s="60">
        <f>SUM(AI3:AI9)</f>
        <v>2653.3824080961972</v>
      </c>
      <c r="AJ10" s="229">
        <f>AL10+X10-AE10</f>
        <v>1700.8767363858778</v>
      </c>
      <c r="AK10" s="111">
        <f>AI10-V10+AF10</f>
        <v>1576.560480029643</v>
      </c>
      <c r="AL10" s="91">
        <f>'Données TSP recalibrées (TWh)'!AG10</f>
        <v>839.09571084981644</v>
      </c>
      <c r="AM10" s="59">
        <f>SUM(AM3:AM9)</f>
        <v>3616.2801795836813</v>
      </c>
      <c r="AN10" s="91">
        <f>'Données TSP recalibrées (TWh)'!AI10</f>
        <v>2111.9597255580425</v>
      </c>
      <c r="AO10" s="259">
        <f>SUM(AO3:AO9)</f>
        <v>289.116233830711</v>
      </c>
      <c r="AP10" s="260">
        <f>U10+X10+AL10+AO10</f>
        <v>3004.7296569535079</v>
      </c>
    </row>
    <row r="11" spans="1:42" s="17" customFormat="1" x14ac:dyDescent="0.35">
      <c r="A11" s="14" t="s">
        <v>69</v>
      </c>
      <c r="B11" s="182">
        <f>B6+B7+B8</f>
        <v>11.746300000000002</v>
      </c>
      <c r="C11" s="128">
        <f t="shared" ref="C11:AM11" si="22">C6+C7+C8</f>
        <v>1437.6191899999999</v>
      </c>
      <c r="D11" s="129">
        <f t="shared" si="22"/>
        <v>0</v>
      </c>
      <c r="E11" s="130">
        <f t="shared" si="22"/>
        <v>118.626</v>
      </c>
      <c r="G11" s="17">
        <f t="shared" si="22"/>
        <v>47.143368000000009</v>
      </c>
      <c r="I11" s="192">
        <f t="shared" si="22"/>
        <v>40.686028081032745</v>
      </c>
      <c r="J11" s="178">
        <f t="shared" si="22"/>
        <v>0</v>
      </c>
      <c r="K11" s="17">
        <f t="shared" si="22"/>
        <v>0</v>
      </c>
      <c r="L11" s="17">
        <f t="shared" si="22"/>
        <v>3.8496858799999969</v>
      </c>
      <c r="M11" s="17">
        <f t="shared" si="22"/>
        <v>13.759986806188552</v>
      </c>
      <c r="N11" s="128">
        <f t="shared" si="22"/>
        <v>44.535713961032741</v>
      </c>
      <c r="O11" s="17">
        <f t="shared" si="22"/>
        <v>132.38598680618855</v>
      </c>
      <c r="P11" s="14"/>
      <c r="Q11" s="178">
        <f t="shared" si="22"/>
        <v>1330.7394899999999</v>
      </c>
      <c r="R11" s="178">
        <f t="shared" si="22"/>
        <v>88.736900000000006</v>
      </c>
      <c r="S11" s="17">
        <f t="shared" si="22"/>
        <v>101.18099999999998</v>
      </c>
      <c r="T11" s="61">
        <f t="shared" si="22"/>
        <v>1140.8215900000002</v>
      </c>
      <c r="U11" s="139">
        <f t="shared" ref="U11" si="23">U6+U7+U8</f>
        <v>10.076526359769566</v>
      </c>
      <c r="V11" s="96">
        <f t="shared" si="22"/>
        <v>1451.3791768061885</v>
      </c>
      <c r="W11" s="17">
        <f t="shared" si="22"/>
        <v>1171.4310917212633</v>
      </c>
      <c r="X11" s="94">
        <f t="shared" si="22"/>
        <v>1175.2807776012633</v>
      </c>
      <c r="Y11" s="96">
        <f t="shared" si="22"/>
        <v>1374.3885768061887</v>
      </c>
      <c r="Z11" s="135">
        <f t="shared" si="22"/>
        <v>1185.3573039610328</v>
      </c>
      <c r="AA11" s="95">
        <f t="shared" ref="AA11:AB11" si="24">AA6+AA7+AA8</f>
        <v>0</v>
      </c>
      <c r="AB11" s="94">
        <f t="shared" si="24"/>
        <v>0</v>
      </c>
      <c r="AC11" s="17">
        <f>AC6+AC7+AC8</f>
        <v>4.9175185970546522</v>
      </c>
      <c r="AD11" s="17">
        <f>AD6+AD7+AD8</f>
        <v>4.670278281934789</v>
      </c>
      <c r="AE11" s="17">
        <f>AE10*AE12</f>
        <v>325.73768365980186</v>
      </c>
      <c r="AF11" s="118">
        <f>AE11* ((V6+V7+V8)/(X6+X7+X8))</f>
        <v>402.26037911539288</v>
      </c>
      <c r="AG11" s="227">
        <f>AC11 - AA11 + AF11</f>
        <v>407.17789771244753</v>
      </c>
      <c r="AH11" s="228">
        <f>AD11 - AB11 + AE11</f>
        <v>330.40796194173663</v>
      </c>
      <c r="AI11" s="17">
        <f>AI6+AI7+AI8</f>
        <v>2355.2763965428635</v>
      </c>
      <c r="AJ11" s="178">
        <f>AJ10*AJ12</f>
        <v>1498.1103139131567</v>
      </c>
      <c r="AK11" s="235">
        <f>AI11-V11+AF11</f>
        <v>1306.1575988520678</v>
      </c>
      <c r="AL11" s="94">
        <f>AJ11-X11+AE11</f>
        <v>648.56721997169529</v>
      </c>
      <c r="AM11" s="96">
        <f t="shared" si="22"/>
        <v>2359.6417609491127</v>
      </c>
      <c r="AN11" s="94">
        <f>Z11+AL11-AH11</f>
        <v>1503.5165619909915</v>
      </c>
      <c r="AO11" s="17">
        <f>AO6+AO7+AO8</f>
        <v>289.116233830711</v>
      </c>
      <c r="AP11" s="260">
        <f>U11+X11+AL11+AO11</f>
        <v>2123.0407577634392</v>
      </c>
    </row>
    <row r="12" spans="1:42" s="73" customFormat="1" x14ac:dyDescent="0.35">
      <c r="A12" s="72" t="s">
        <v>68</v>
      </c>
      <c r="B12" s="183">
        <f>B11/B10</f>
        <v>7.3305269269850499E-3</v>
      </c>
      <c r="C12" s="117">
        <f t="shared" ref="C12:AN12" si="25">C11/C10</f>
        <v>0.99117974870302206</v>
      </c>
      <c r="D12" s="131">
        <f t="shared" si="25"/>
        <v>0</v>
      </c>
      <c r="E12" s="132">
        <f t="shared" si="25"/>
        <v>7.6981132075471706E-2</v>
      </c>
      <c r="G12" s="73">
        <f t="shared" si="25"/>
        <v>8.1661267707779345E-2</v>
      </c>
      <c r="I12" s="190">
        <f t="shared" si="25"/>
        <v>8.1661267707779359E-2</v>
      </c>
      <c r="J12" s="190">
        <f t="shared" si="25"/>
        <v>0</v>
      </c>
      <c r="K12" s="73">
        <f t="shared" si="25"/>
        <v>0</v>
      </c>
      <c r="L12" s="73">
        <f t="shared" si="25"/>
        <v>0.2838619345110262</v>
      </c>
      <c r="M12" s="73">
        <f t="shared" si="25"/>
        <v>0.41094226736319439</v>
      </c>
      <c r="N12" s="117">
        <f t="shared" si="25"/>
        <v>0.10231847268212997</v>
      </c>
      <c r="O12" s="73">
        <f t="shared" si="25"/>
        <v>9.6900082005531185E-2</v>
      </c>
      <c r="P12" s="81"/>
      <c r="Q12" s="190">
        <f t="shared" si="25"/>
        <v>0.88403266554897131</v>
      </c>
      <c r="R12" s="190">
        <f t="shared" si="25"/>
        <v>1</v>
      </c>
      <c r="S12" s="73">
        <f t="shared" si="25"/>
        <v>0.92161016949152552</v>
      </c>
      <c r="T12" s="82">
        <f t="shared" si="25"/>
        <v>0.83916915469703079</v>
      </c>
      <c r="U12" s="140">
        <f t="shared" ref="U12" si="26">U11/U10</f>
        <v>1.4792523382465008E-2</v>
      </c>
      <c r="V12" s="98">
        <f t="shared" si="25"/>
        <v>0.97808673968171833</v>
      </c>
      <c r="W12" s="73">
        <f t="shared" si="25"/>
        <v>0.99125520318771343</v>
      </c>
      <c r="X12" s="97">
        <f t="shared" si="25"/>
        <v>0.98322933077713315</v>
      </c>
      <c r="Y12" s="98">
        <f t="shared" si="25"/>
        <v>0.49389045630266293</v>
      </c>
      <c r="Z12" s="136">
        <f t="shared" si="25"/>
        <v>0.66046508471801046</v>
      </c>
      <c r="AA12" s="115">
        <f t="shared" ref="AA12:AB12" si="27">AA11/AA10</f>
        <v>0</v>
      </c>
      <c r="AB12" s="116">
        <f t="shared" si="27"/>
        <v>0</v>
      </c>
      <c r="AC12" s="73">
        <f>AC11/AC10</f>
        <v>7.5861932693497558E-3</v>
      </c>
      <c r="AD12" s="73">
        <f>AD11/AD10</f>
        <v>1.7276913368696543E-2</v>
      </c>
      <c r="AE12" s="103">
        <f>(X12 + (AE13+AE14)/2) / 2</f>
        <v>0.97658943202370285</v>
      </c>
      <c r="AF12" s="117">
        <f>AF11/AF10</f>
        <v>0.98817445986847385</v>
      </c>
      <c r="AG12" s="122">
        <f>AG11/AG10</f>
        <v>0.48442804714748228</v>
      </c>
      <c r="AH12" s="119">
        <f>AH11/AH10</f>
        <v>0.63287001476764748</v>
      </c>
      <c r="AI12" s="73">
        <f>AI11/AI10</f>
        <v>0.88765056606852799</v>
      </c>
      <c r="AJ12" s="230">
        <f>(AJ13+AJ14)/2</f>
        <v>0.88078711517709918</v>
      </c>
      <c r="AK12" s="236">
        <f>AK11/AK10</f>
        <v>0.82848556423760478</v>
      </c>
      <c r="AL12" s="97">
        <f>AL11/AL10</f>
        <v>0.7729359256464815</v>
      </c>
      <c r="AM12" s="98">
        <f t="shared" si="25"/>
        <v>0.65250523846876352</v>
      </c>
      <c r="AN12" s="97">
        <f t="shared" si="25"/>
        <v>0.71190588712278491</v>
      </c>
      <c r="AO12" s="73">
        <f>AO11/AO10</f>
        <v>1</v>
      </c>
      <c r="AP12" s="262">
        <f>AP11/AP10</f>
        <v>0.70656631382804269</v>
      </c>
    </row>
    <row r="13" spans="1:42" s="78" customFormat="1" x14ac:dyDescent="0.35">
      <c r="A13" s="77" t="s">
        <v>74</v>
      </c>
      <c r="B13" s="123"/>
      <c r="D13" s="84"/>
      <c r="E13" s="83"/>
      <c r="I13" s="125"/>
      <c r="J13" s="125"/>
      <c r="P13" s="83"/>
      <c r="Q13" s="125"/>
      <c r="R13" s="125"/>
      <c r="T13" s="84"/>
      <c r="U13" s="141"/>
      <c r="V13" s="100"/>
      <c r="X13" s="99"/>
      <c r="Y13" s="100"/>
      <c r="Z13" s="137"/>
      <c r="AA13" s="114"/>
      <c r="AB13" s="114"/>
      <c r="AC13" s="14"/>
      <c r="AD13" s="17"/>
      <c r="AE13" s="143">
        <f>1- (X3+X4+X5)/AE10</f>
        <v>0.939899066540545</v>
      </c>
      <c r="AF13" s="144">
        <f>1-(V3+V4+V5+V9)/AF10</f>
        <v>0.92012021610742489</v>
      </c>
      <c r="AG13" s="123"/>
      <c r="AH13" s="124"/>
      <c r="AJ13" s="231">
        <f>1- ( (AI3*Z3/Y3)*1.2 + (AI4*Z4/Y4)*1.2 + (AI5*Z5/Y5)*1.5 ) /AJ10</f>
        <v>0.83244813641529325</v>
      </c>
      <c r="AK13" s="232"/>
      <c r="AL13" s="233"/>
      <c r="AM13" s="125"/>
      <c r="AN13" s="126"/>
      <c r="AO13" s="83"/>
      <c r="AP13" s="84"/>
    </row>
    <row r="14" spans="1:42" s="239" customFormat="1" ht="15.75" customHeight="1" x14ac:dyDescent="0.35">
      <c r="A14" s="184" t="s">
        <v>75</v>
      </c>
      <c r="B14" s="185"/>
      <c r="C14" s="186"/>
      <c r="D14" s="237"/>
      <c r="E14" s="238"/>
      <c r="I14" s="233"/>
      <c r="J14" s="233"/>
      <c r="P14" s="238"/>
      <c r="Q14" s="233"/>
      <c r="R14" s="233"/>
      <c r="T14" s="240"/>
      <c r="U14" s="241"/>
      <c r="V14" s="114"/>
      <c r="X14" s="242"/>
      <c r="Y14" s="114"/>
      <c r="Z14" s="243"/>
      <c r="AA14" s="114"/>
      <c r="AB14" s="114"/>
      <c r="AC14" s="244"/>
      <c r="AD14" s="8"/>
      <c r="AE14" s="245">
        <f>IF(X6+X7+X8&gt;AE10,100%, (X6+X7+X8)/AE10)</f>
        <v>1</v>
      </c>
      <c r="AF14" s="245">
        <f>IF(V6+V7+V8&gt;AF10,100%, (V6+V7+V8)/AF10)</f>
        <v>1</v>
      </c>
      <c r="AG14" s="232"/>
      <c r="AH14" s="246"/>
      <c r="AJ14" s="247">
        <f>1- ( (AI3*Z3/Y3)*0.8 + (AI4*Z4/Y4)*0.8 + (AI5*Z5/Y5)*0.5 ) /AJ10</f>
        <v>0.92912609393890522</v>
      </c>
      <c r="AK14" s="232"/>
      <c r="AL14" s="233"/>
      <c r="AM14" s="233"/>
      <c r="AN14" s="246"/>
      <c r="AO14" s="85"/>
      <c r="AP14" s="86"/>
    </row>
    <row r="15" spans="1:42" s="248" customFormat="1" ht="409.5" customHeight="1" thickBot="1" x14ac:dyDescent="0.4">
      <c r="A15" s="252" t="s">
        <v>154</v>
      </c>
      <c r="B15" s="253" t="s">
        <v>109</v>
      </c>
      <c r="C15" s="254" t="s">
        <v>110</v>
      </c>
      <c r="D15" s="255" t="s">
        <v>83</v>
      </c>
      <c r="F15" s="248" t="s">
        <v>117</v>
      </c>
      <c r="G15" s="248" t="s">
        <v>97</v>
      </c>
      <c r="H15" s="248" t="s">
        <v>115</v>
      </c>
      <c r="I15" s="249" t="s">
        <v>116</v>
      </c>
      <c r="J15" s="249" t="s">
        <v>118</v>
      </c>
      <c r="K15" s="249" t="s">
        <v>119</v>
      </c>
      <c r="L15" s="248" t="s">
        <v>159</v>
      </c>
      <c r="M15" s="250" t="s">
        <v>122</v>
      </c>
      <c r="Q15" s="249"/>
      <c r="R15" s="249"/>
      <c r="U15" s="249" t="s">
        <v>168</v>
      </c>
      <c r="X15" s="251"/>
      <c r="Z15" s="261"/>
      <c r="AA15" s="252"/>
      <c r="AB15" s="248" t="s">
        <v>167</v>
      </c>
      <c r="AD15" s="249" t="s">
        <v>139</v>
      </c>
      <c r="AE15" s="249" t="s">
        <v>145</v>
      </c>
      <c r="AF15" s="249" t="s">
        <v>146</v>
      </c>
      <c r="AG15" s="288" t="s">
        <v>140</v>
      </c>
      <c r="AH15" s="288"/>
      <c r="AJ15" s="297" t="s">
        <v>147</v>
      </c>
      <c r="AK15" s="250"/>
      <c r="AM15" s="263" t="s">
        <v>158</v>
      </c>
      <c r="AP15" s="261"/>
    </row>
    <row r="16" spans="1:42" ht="98.5" customHeight="1" x14ac:dyDescent="0.35">
      <c r="X16" s="76"/>
      <c r="AJ16" s="298"/>
      <c r="AM16" t="s">
        <v>89</v>
      </c>
    </row>
    <row r="17" spans="22:42" x14ac:dyDescent="0.35">
      <c r="V17" s="15"/>
      <c r="W17" s="15"/>
      <c r="X17" s="15"/>
      <c r="Y17" s="15"/>
      <c r="AJ17" s="298"/>
    </row>
    <row r="18" spans="22:42" x14ac:dyDescent="0.35">
      <c r="V18" s="15"/>
      <c r="W18" s="15"/>
      <c r="X18" s="15"/>
      <c r="Y18" s="15"/>
      <c r="AJ18" s="298"/>
    </row>
    <row r="19" spans="22:42" x14ac:dyDescent="0.35">
      <c r="V19" s="16"/>
      <c r="W19" s="16"/>
      <c r="X19" s="16"/>
      <c r="Y19" s="16"/>
      <c r="AJ19" s="298"/>
    </row>
    <row r="20" spans="22:42" x14ac:dyDescent="0.35">
      <c r="V20" s="16"/>
      <c r="W20" s="16"/>
      <c r="X20" s="16"/>
      <c r="Y20" s="16"/>
      <c r="AJ20" s="298"/>
    </row>
    <row r="21" spans="22:42" x14ac:dyDescent="0.35">
      <c r="V21" s="16"/>
      <c r="W21" s="16"/>
      <c r="X21" s="16"/>
      <c r="Y21" s="16"/>
      <c r="AJ21" s="298"/>
    </row>
    <row r="22" spans="22:42" x14ac:dyDescent="0.35">
      <c r="V22" s="16"/>
      <c r="W22" s="16"/>
      <c r="X22" s="16"/>
      <c r="Y22" s="16"/>
      <c r="AJ22" s="298"/>
    </row>
    <row r="23" spans="22:42" x14ac:dyDescent="0.35">
      <c r="V23" s="16"/>
      <c r="W23" s="16"/>
      <c r="X23" s="16"/>
      <c r="Y23" s="16"/>
      <c r="AJ23" s="298"/>
    </row>
    <row r="24" spans="22:42" x14ac:dyDescent="0.35">
      <c r="V24" s="16"/>
      <c r="W24" s="16"/>
      <c r="X24" s="16"/>
      <c r="Y24" s="16"/>
      <c r="AJ24" s="298"/>
    </row>
    <row r="25" spans="22:42" x14ac:dyDescent="0.35">
      <c r="V25" s="15"/>
      <c r="W25" s="15"/>
      <c r="X25" s="15"/>
      <c r="Y25" s="15"/>
      <c r="Z25" s="2"/>
      <c r="AA25" s="2"/>
      <c r="AB25" s="2"/>
      <c r="AC25" s="2"/>
      <c r="AD25" s="2"/>
      <c r="AE25" s="2"/>
      <c r="AF25" s="2"/>
      <c r="AG25" s="2"/>
      <c r="AH25" s="2"/>
      <c r="AI25" s="2"/>
      <c r="AJ25" s="298"/>
      <c r="AK25" s="2"/>
      <c r="AL25" s="2"/>
      <c r="AM25" s="2"/>
      <c r="AN25" s="2"/>
      <c r="AO25" s="2"/>
      <c r="AP25" s="2"/>
    </row>
    <row r="26" spans="22:42" x14ac:dyDescent="0.35">
      <c r="AJ26" s="298"/>
    </row>
    <row r="27" spans="22:42" x14ac:dyDescent="0.35">
      <c r="AJ27" s="298"/>
    </row>
    <row r="28" spans="22:42" x14ac:dyDescent="0.35">
      <c r="AJ28" s="298"/>
    </row>
    <row r="29" spans="22:42" x14ac:dyDescent="0.35">
      <c r="AJ29" s="298"/>
    </row>
  </sheetData>
  <mergeCells count="15">
    <mergeCell ref="AO1:AP1"/>
    <mergeCell ref="AM1:AN1"/>
    <mergeCell ref="E1:O1"/>
    <mergeCell ref="B1:D1"/>
    <mergeCell ref="P1:T1"/>
    <mergeCell ref="V1:X1"/>
    <mergeCell ref="Y1:Z1"/>
    <mergeCell ref="AA1:AB1"/>
    <mergeCell ref="AG15:AH15"/>
    <mergeCell ref="AM6:AM7"/>
    <mergeCell ref="AK6:AK7"/>
    <mergeCell ref="AC1:AH1"/>
    <mergeCell ref="AI1:AL1"/>
    <mergeCell ref="AJ15:AJ29"/>
    <mergeCell ref="AI6:AI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ABA4F-9720-4EE1-AD89-270EAA2650E9}">
  <dimension ref="A2:F8"/>
  <sheetViews>
    <sheetView workbookViewId="0">
      <selection activeCell="F4" sqref="F4"/>
    </sheetView>
  </sheetViews>
  <sheetFormatPr baseColWidth="10" defaultRowHeight="14.5" x14ac:dyDescent="0.35"/>
  <cols>
    <col min="1" max="1" width="14.81640625" customWidth="1"/>
  </cols>
  <sheetData>
    <row r="2" spans="1:6" x14ac:dyDescent="0.35">
      <c r="A2" s="6" t="s">
        <v>169</v>
      </c>
      <c r="B2" s="6">
        <v>681.19049733693419</v>
      </c>
      <c r="F2" s="6"/>
    </row>
    <row r="3" spans="1:6" x14ac:dyDescent="0.35">
      <c r="A3" s="6"/>
      <c r="B3">
        <v>-81.786497272980597</v>
      </c>
      <c r="C3" t="s">
        <v>170</v>
      </c>
    </row>
    <row r="4" spans="1:6" x14ac:dyDescent="0.35">
      <c r="A4" s="6"/>
      <c r="B4">
        <v>1195.3272149360464</v>
      </c>
      <c r="C4" t="s">
        <v>64</v>
      </c>
    </row>
    <row r="5" spans="1:6" x14ac:dyDescent="0.35">
      <c r="A5" s="6" t="s">
        <v>171</v>
      </c>
      <c r="B5" s="6">
        <v>1794.731215</v>
      </c>
    </row>
    <row r="6" spans="1:6" x14ac:dyDescent="0.35">
      <c r="A6" s="6"/>
      <c r="B6">
        <v>-522.07871163408299</v>
      </c>
      <c r="C6" t="s">
        <v>172</v>
      </c>
    </row>
    <row r="7" spans="1:6" x14ac:dyDescent="0.35">
      <c r="A7" s="6"/>
      <c r="B7">
        <v>839.09571084981644</v>
      </c>
      <c r="C7" t="s">
        <v>173</v>
      </c>
    </row>
    <row r="8" spans="1:6" x14ac:dyDescent="0.35">
      <c r="A8" s="6" t="s">
        <v>160</v>
      </c>
      <c r="B8" s="6">
        <v>2111.9597255580425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A36B8-14AF-4A84-904D-18A612E7B1C5}">
  <dimension ref="A1:F6"/>
  <sheetViews>
    <sheetView workbookViewId="0">
      <selection activeCell="F2" sqref="F2"/>
    </sheetView>
  </sheetViews>
  <sheetFormatPr baseColWidth="10" defaultRowHeight="14.5" x14ac:dyDescent="0.35"/>
  <cols>
    <col min="1" max="1" width="37.453125" customWidth="1"/>
    <col min="2" max="2" width="9.81640625" customWidth="1"/>
    <col min="5" max="5" width="12.54296875" bestFit="1" customWidth="1"/>
  </cols>
  <sheetData>
    <row r="1" spans="1:6" x14ac:dyDescent="0.35">
      <c r="B1" t="s">
        <v>174</v>
      </c>
      <c r="C1" t="s">
        <v>175</v>
      </c>
      <c r="D1" t="s">
        <v>176</v>
      </c>
      <c r="E1" t="s">
        <v>177</v>
      </c>
    </row>
    <row r="2" spans="1:6" ht="29" x14ac:dyDescent="0.35">
      <c r="A2" s="1" t="s">
        <v>178</v>
      </c>
      <c r="B2" s="265"/>
      <c r="C2">
        <f>681.190497336934-D2</f>
        <v>671.1139709771644</v>
      </c>
      <c r="D2">
        <v>10.076526359769566</v>
      </c>
      <c r="E2" s="266">
        <f>D2+C2</f>
        <v>681.19049733693396</v>
      </c>
      <c r="F2" s="269">
        <f>D2/E2</f>
        <v>1.4792523382465013E-2</v>
      </c>
    </row>
    <row r="3" spans="1:6" x14ac:dyDescent="0.35">
      <c r="A3" t="s">
        <v>179</v>
      </c>
      <c r="B3" s="268">
        <f>B2+E2</f>
        <v>681.19049733693396</v>
      </c>
      <c r="C3">
        <f>1195.32721493605-D3</f>
        <v>20.046437334786788</v>
      </c>
      <c r="D3">
        <v>1175.2807776012633</v>
      </c>
      <c r="E3" s="266">
        <f>D3+C3</f>
        <v>1195.32721493605</v>
      </c>
      <c r="F3" s="267">
        <f>D3/E3</f>
        <v>0.98322933077713015</v>
      </c>
    </row>
    <row r="4" spans="1:6" ht="29" x14ac:dyDescent="0.35">
      <c r="A4" s="1" t="s">
        <v>180</v>
      </c>
      <c r="B4" s="268">
        <f>B3+E3</f>
        <v>1876.517712272984</v>
      </c>
      <c r="C4">
        <v>0</v>
      </c>
      <c r="D4">
        <v>289.116233830711</v>
      </c>
      <c r="E4" s="266">
        <f>D4+C4</f>
        <v>289.116233830711</v>
      </c>
      <c r="F4" s="267">
        <f>D4/E4</f>
        <v>1</v>
      </c>
    </row>
    <row r="5" spans="1:6" x14ac:dyDescent="0.35">
      <c r="A5" t="s">
        <v>181</v>
      </c>
      <c r="B5" s="268">
        <f>E4+B4</f>
        <v>2165.6339461036951</v>
      </c>
      <c r="C5">
        <f>839.095710849816-D5</f>
        <v>190.52849087812069</v>
      </c>
      <c r="D5">
        <v>648.56721997169529</v>
      </c>
      <c r="E5" s="266">
        <f>D5+C5</f>
        <v>839.09571084981599</v>
      </c>
      <c r="F5" s="267">
        <f>D5/E5</f>
        <v>0.77293592564648195</v>
      </c>
    </row>
    <row r="6" spans="1:6" x14ac:dyDescent="0.35">
      <c r="A6" s="6" t="s">
        <v>182</v>
      </c>
      <c r="C6">
        <f>SUM(C2:C5)</f>
        <v>881.68889919007188</v>
      </c>
      <c r="D6">
        <f>SUM(D2:D5)</f>
        <v>2123.0407577634392</v>
      </c>
      <c r="E6" s="266">
        <f>D6+C6</f>
        <v>3004.729656953511</v>
      </c>
      <c r="F6" s="267">
        <f>D6/E6</f>
        <v>0.70656631382804191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4015-6276-47B6-B9A4-635D5DDF6B1D}">
  <dimension ref="A1:G24"/>
  <sheetViews>
    <sheetView workbookViewId="0">
      <selection activeCell="E21" sqref="E21"/>
    </sheetView>
  </sheetViews>
  <sheetFormatPr baseColWidth="10" defaultRowHeight="14.5" x14ac:dyDescent="0.35"/>
  <cols>
    <col min="1" max="1" width="25" bestFit="1" customWidth="1"/>
    <col min="2" max="2" width="7.54296875" bestFit="1" customWidth="1"/>
    <col min="3" max="3" width="15.453125" customWidth="1"/>
    <col min="4" max="4" width="17.7265625" bestFit="1" customWidth="1"/>
    <col min="5" max="5" width="12.54296875" customWidth="1"/>
    <col min="6" max="6" width="12.7265625" customWidth="1"/>
    <col min="7" max="7" width="57" customWidth="1"/>
  </cols>
  <sheetData>
    <row r="1" spans="1:7" s="1" customFormat="1" ht="29" x14ac:dyDescent="0.35">
      <c r="A1" s="270" t="s">
        <v>194</v>
      </c>
      <c r="B1" s="271" t="s">
        <v>188</v>
      </c>
      <c r="C1" s="271" t="s">
        <v>192</v>
      </c>
      <c r="D1" s="271" t="s">
        <v>191</v>
      </c>
      <c r="E1" s="271" t="s">
        <v>195</v>
      </c>
      <c r="F1" s="271" t="s">
        <v>196</v>
      </c>
      <c r="G1" s="272" t="s">
        <v>184</v>
      </c>
    </row>
    <row r="2" spans="1:7" x14ac:dyDescent="0.35">
      <c r="A2" s="273" t="s">
        <v>4</v>
      </c>
      <c r="B2" s="274">
        <f>'DONNÉES COMPILÉES (TWh, 2018)'!X3</f>
        <v>3.4401036399999998</v>
      </c>
      <c r="C2" s="275">
        <v>1</v>
      </c>
      <c r="D2" s="275">
        <v>0</v>
      </c>
      <c r="E2" s="276">
        <f>B2*C2</f>
        <v>3.4401036399999998</v>
      </c>
      <c r="F2" s="276">
        <f>B2*D2</f>
        <v>0</v>
      </c>
      <c r="G2" s="277"/>
    </row>
    <row r="3" spans="1:7" x14ac:dyDescent="0.35">
      <c r="A3" s="273" t="s">
        <v>186</v>
      </c>
      <c r="B3" s="274">
        <f>'DONNÉES COMPILÉES (TWh, 2018)'!X4</f>
        <v>6.2720354799999978</v>
      </c>
      <c r="C3" s="275">
        <v>1</v>
      </c>
      <c r="D3" s="275">
        <v>0</v>
      </c>
      <c r="E3" s="276">
        <f t="shared" ref="E3:E5" si="0">B3*C3</f>
        <v>6.2720354799999978</v>
      </c>
      <c r="F3" s="276">
        <f t="shared" ref="F3:F5" si="1">B3*D3</f>
        <v>0</v>
      </c>
      <c r="G3" s="277"/>
    </row>
    <row r="4" spans="1:7" x14ac:dyDescent="0.35">
      <c r="A4" s="273" t="s">
        <v>187</v>
      </c>
      <c r="B4" s="274">
        <f>'DONNÉES COMPILÉES (TWh, 2018)'!X5</f>
        <v>10.334298214783288</v>
      </c>
      <c r="C4" s="275">
        <v>1</v>
      </c>
      <c r="D4" s="275">
        <v>0</v>
      </c>
      <c r="E4" s="276">
        <f t="shared" si="0"/>
        <v>10.334298214783288</v>
      </c>
      <c r="F4" s="276">
        <f t="shared" si="1"/>
        <v>0</v>
      </c>
      <c r="G4" s="277"/>
    </row>
    <row r="5" spans="1:7" x14ac:dyDescent="0.35">
      <c r="A5" s="273" t="s">
        <v>7</v>
      </c>
      <c r="B5" s="274">
        <f>'DONNÉES COMPILÉES (TWh, 2018)'!X6</f>
        <v>776.1494014492406</v>
      </c>
      <c r="C5" s="278">
        <v>8.5000000000000006E-2</v>
      </c>
      <c r="D5" s="278">
        <f>1-C5</f>
        <v>0.91500000000000004</v>
      </c>
      <c r="E5" s="276">
        <f t="shared" si="0"/>
        <v>65.97269912318545</v>
      </c>
      <c r="F5" s="276">
        <f t="shared" si="1"/>
        <v>710.17670232605519</v>
      </c>
      <c r="G5" s="279" t="s">
        <v>197</v>
      </c>
    </row>
    <row r="6" spans="1:7" x14ac:dyDescent="0.35">
      <c r="A6" s="244" t="s">
        <v>185</v>
      </c>
      <c r="B6" s="274">
        <f>'DONNÉES COMPILÉES (TWh, 2018)'!X7</f>
        <v>369.94364460988464</v>
      </c>
      <c r="C6" s="278">
        <v>0.56899999999999995</v>
      </c>
      <c r="D6" s="278">
        <f>1-C6</f>
        <v>0.43100000000000005</v>
      </c>
      <c r="E6" s="276">
        <f>B6*C6</f>
        <v>210.49793378302434</v>
      </c>
      <c r="F6" s="276">
        <f>B6*D6</f>
        <v>159.44571082686031</v>
      </c>
      <c r="G6" s="279" t="s">
        <v>197</v>
      </c>
    </row>
    <row r="7" spans="1:7" x14ac:dyDescent="0.35">
      <c r="A7" s="244" t="s">
        <v>2</v>
      </c>
      <c r="B7" s="274">
        <f>'DONNÉES COMPILÉES (TWh, 2018)'!X8</f>
        <v>29.187731542137985</v>
      </c>
      <c r="C7" s="278">
        <v>2.8000000000000001E-2</v>
      </c>
      <c r="D7" s="278">
        <f t="shared" ref="D7" si="2">1-C7</f>
        <v>0.97199999999999998</v>
      </c>
      <c r="E7" s="276">
        <f>B7*C7</f>
        <v>0.81725648317986366</v>
      </c>
      <c r="F7" s="276">
        <f>B7*D7</f>
        <v>28.370475058958121</v>
      </c>
      <c r="G7" s="279" t="s">
        <v>190</v>
      </c>
    </row>
    <row r="8" spans="1:7" s="6" customFormat="1" x14ac:dyDescent="0.35">
      <c r="A8" s="72" t="s">
        <v>189</v>
      </c>
      <c r="B8" s="280">
        <f>SUM(B2:B7)</f>
        <v>1195.3272149360464</v>
      </c>
      <c r="C8" s="280"/>
      <c r="D8" s="280"/>
      <c r="E8" s="280">
        <f>SUM(E2:E7)</f>
        <v>297.33432672417291</v>
      </c>
      <c r="F8" s="280">
        <f>SUM(F2:F7)</f>
        <v>897.99288821187361</v>
      </c>
      <c r="G8" s="281"/>
    </row>
    <row r="9" spans="1:7" s="6" customFormat="1" x14ac:dyDescent="0.35">
      <c r="A9" s="287"/>
      <c r="B9" s="286"/>
      <c r="C9" s="286"/>
      <c r="D9" s="286"/>
      <c r="E9" s="286"/>
      <c r="F9" s="286"/>
      <c r="G9" s="13"/>
    </row>
    <row r="10" spans="1:7" ht="43.5" x14ac:dyDescent="0.35">
      <c r="A10" s="270" t="s">
        <v>200</v>
      </c>
      <c r="B10" s="271" t="s">
        <v>188</v>
      </c>
      <c r="C10" s="271" t="s">
        <v>192</v>
      </c>
      <c r="D10" s="271" t="s">
        <v>183</v>
      </c>
      <c r="E10" s="271" t="s">
        <v>195</v>
      </c>
      <c r="F10" s="271" t="s">
        <v>196</v>
      </c>
      <c r="G10" s="272" t="s">
        <v>184</v>
      </c>
    </row>
    <row r="11" spans="1:7" x14ac:dyDescent="0.35">
      <c r="A11" s="273" t="s">
        <v>7</v>
      </c>
      <c r="B11" s="274">
        <f>'DONNÉES COMPILÉES (TWh, 2018)'!AO6</f>
        <v>235.62380000000005</v>
      </c>
      <c r="C11" s="278">
        <f>C5</f>
        <v>8.5000000000000006E-2</v>
      </c>
      <c r="D11" s="278">
        <f>1-C11</f>
        <v>0.91500000000000004</v>
      </c>
      <c r="E11" s="276">
        <f t="shared" ref="E11:E12" si="3">B11*C11</f>
        <v>20.028023000000005</v>
      </c>
      <c r="F11" s="276">
        <f t="shared" ref="F11" si="4">B11*D11</f>
        <v>215.59577700000006</v>
      </c>
      <c r="G11" s="279" t="s">
        <v>197</v>
      </c>
    </row>
    <row r="12" spans="1:7" x14ac:dyDescent="0.35">
      <c r="A12" s="244" t="s">
        <v>185</v>
      </c>
      <c r="B12" s="274">
        <f>'DONNÉES COMPILÉES (TWh, 2018)'!AO7</f>
        <v>53.492433830710951</v>
      </c>
      <c r="C12" s="278">
        <f>C6</f>
        <v>0.56899999999999995</v>
      </c>
      <c r="D12" s="278">
        <f>1-C12</f>
        <v>0.43100000000000005</v>
      </c>
      <c r="E12" s="276">
        <f t="shared" si="3"/>
        <v>30.43719484967453</v>
      </c>
      <c r="F12" s="276">
        <f>B12*D12</f>
        <v>23.055238981036421</v>
      </c>
      <c r="G12" s="279" t="s">
        <v>197</v>
      </c>
    </row>
    <row r="13" spans="1:7" x14ac:dyDescent="0.35">
      <c r="A13" s="72" t="s">
        <v>189</v>
      </c>
      <c r="B13" s="280">
        <f>SUM(B11:B12)</f>
        <v>289.116233830711</v>
      </c>
      <c r="C13" s="280"/>
      <c r="D13" s="280"/>
      <c r="E13" s="280">
        <f>SUM(E11:E12)</f>
        <v>50.465217849674531</v>
      </c>
      <c r="F13" s="280">
        <f>SUM(F11:F12)</f>
        <v>238.65101598103647</v>
      </c>
      <c r="G13" s="281"/>
    </row>
    <row r="15" spans="1:7" ht="43.5" x14ac:dyDescent="0.35">
      <c r="A15" s="270" t="s">
        <v>201</v>
      </c>
      <c r="B15" s="271" t="s">
        <v>188</v>
      </c>
      <c r="C15" s="271" t="s">
        <v>192</v>
      </c>
      <c r="D15" s="271" t="s">
        <v>183</v>
      </c>
      <c r="E15" s="271" t="s">
        <v>195</v>
      </c>
      <c r="F15" s="271" t="s">
        <v>196</v>
      </c>
      <c r="G15" s="272" t="s">
        <v>184</v>
      </c>
    </row>
    <row r="16" spans="1:7" x14ac:dyDescent="0.35">
      <c r="A16" s="273" t="s">
        <v>7</v>
      </c>
      <c r="B16" s="274">
        <f>'DONNÉES COMPILÉES (TWh, 2018)'!AO6</f>
        <v>235.62380000000005</v>
      </c>
      <c r="C16" s="278">
        <v>0.64</v>
      </c>
      <c r="D16" s="278">
        <f>1-C16</f>
        <v>0.36</v>
      </c>
      <c r="E16" s="276">
        <f t="shared" ref="E16:E17" si="5">B16*C16</f>
        <v>150.79923200000005</v>
      </c>
      <c r="F16" s="276">
        <f t="shared" ref="F16" si="6">B16*D16</f>
        <v>84.824568000000014</v>
      </c>
      <c r="G16" s="279" t="s">
        <v>197</v>
      </c>
    </row>
    <row r="17" spans="1:7" x14ac:dyDescent="0.35">
      <c r="A17" s="244" t="s">
        <v>185</v>
      </c>
      <c r="B17" s="274">
        <f>'DONNÉES COMPILÉES (TWh, 2018)'!AO7</f>
        <v>53.492433830710951</v>
      </c>
      <c r="C17" s="278">
        <v>0.74</v>
      </c>
      <c r="D17" s="278">
        <f>1-C17</f>
        <v>0.26</v>
      </c>
      <c r="E17" s="276">
        <f t="shared" si="5"/>
        <v>39.584401034726106</v>
      </c>
      <c r="F17" s="276">
        <f>B17*D17</f>
        <v>13.908032795984848</v>
      </c>
      <c r="G17" s="279" t="s">
        <v>197</v>
      </c>
    </row>
    <row r="18" spans="1:7" x14ac:dyDescent="0.35">
      <c r="A18" s="72" t="s">
        <v>189</v>
      </c>
      <c r="B18" s="280">
        <f>SUM(B16:B17)</f>
        <v>289.116233830711</v>
      </c>
      <c r="C18" s="280"/>
      <c r="D18" s="280"/>
      <c r="E18" s="280">
        <f>SUM(E16:E17)</f>
        <v>190.38363303472616</v>
      </c>
      <c r="F18" s="280">
        <f>SUM(F16:F17)</f>
        <v>98.732600795984865</v>
      </c>
      <c r="G18" s="281"/>
    </row>
    <row r="20" spans="1:7" ht="29" x14ac:dyDescent="0.35">
      <c r="A20" s="270" t="s">
        <v>198</v>
      </c>
      <c r="B20" s="271" t="s">
        <v>188</v>
      </c>
      <c r="C20" s="271" t="s">
        <v>192</v>
      </c>
      <c r="D20" s="271" t="s">
        <v>183</v>
      </c>
      <c r="E20" s="271" t="s">
        <v>195</v>
      </c>
      <c r="F20" s="271" t="s">
        <v>196</v>
      </c>
      <c r="G20" s="272" t="s">
        <v>184</v>
      </c>
    </row>
    <row r="21" spans="1:7" x14ac:dyDescent="0.35">
      <c r="A21" s="282" t="s">
        <v>189</v>
      </c>
      <c r="B21" s="283">
        <v>839</v>
      </c>
      <c r="C21" s="284">
        <v>0.39560000000000001</v>
      </c>
      <c r="D21" s="284">
        <v>0.60440000000000005</v>
      </c>
      <c r="E21" s="285">
        <f>B21*C21</f>
        <v>331.90840000000003</v>
      </c>
      <c r="F21" s="285">
        <f>B21*D21</f>
        <v>507.09160000000003</v>
      </c>
      <c r="G21" s="62" t="s">
        <v>193</v>
      </c>
    </row>
    <row r="23" spans="1:7" ht="29" x14ac:dyDescent="0.35">
      <c r="A23" s="270" t="s">
        <v>199</v>
      </c>
      <c r="B23" s="271" t="s">
        <v>188</v>
      </c>
      <c r="C23" s="271" t="s">
        <v>192</v>
      </c>
      <c r="D23" s="271" t="s">
        <v>183</v>
      </c>
      <c r="E23" s="271" t="s">
        <v>195</v>
      </c>
      <c r="F23" s="271" t="s">
        <v>196</v>
      </c>
      <c r="G23" s="272" t="s">
        <v>184</v>
      </c>
    </row>
    <row r="24" spans="1:7" x14ac:dyDescent="0.35">
      <c r="A24" s="282" t="s">
        <v>189</v>
      </c>
      <c r="B24" s="283">
        <v>522</v>
      </c>
      <c r="C24" s="284">
        <f>E24/B24</f>
        <v>0.46743295019157088</v>
      </c>
      <c r="D24" s="284">
        <f>F24/B24</f>
        <v>0.53256704980842917</v>
      </c>
      <c r="E24" s="285">
        <v>244</v>
      </c>
      <c r="F24" s="285">
        <v>278</v>
      </c>
      <c r="G24" s="62" t="s">
        <v>193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2B4EF-D6E7-4FA2-B987-F9345FE2B8AA}">
  <dimension ref="A1:AD26"/>
  <sheetViews>
    <sheetView zoomScale="85" zoomScaleNormal="85" workbookViewId="0">
      <pane xSplit="1" topLeftCell="M1" activePane="topRight" state="frozen"/>
      <selection pane="topRight" activeCell="S5" sqref="S5"/>
    </sheetView>
  </sheetViews>
  <sheetFormatPr baseColWidth="10" defaultRowHeight="14.5" x14ac:dyDescent="0.35"/>
  <cols>
    <col min="2" max="2" width="16.26953125" customWidth="1"/>
    <col min="3" max="3" width="16.1796875" customWidth="1"/>
    <col min="4" max="4" width="17.26953125" customWidth="1"/>
    <col min="5" max="5" width="22" customWidth="1"/>
    <col min="6" max="6" width="17.26953125" customWidth="1"/>
    <col min="7" max="9" width="21.1796875" customWidth="1"/>
    <col min="10" max="11" width="24.26953125" customWidth="1"/>
    <col min="12" max="13" width="25.1796875" customWidth="1"/>
    <col min="14" max="15" width="15.54296875" customWidth="1"/>
    <col min="16" max="16" width="16" customWidth="1"/>
    <col min="17" max="17" width="15.81640625" customWidth="1"/>
    <col min="18" max="18" width="18.453125" customWidth="1"/>
    <col min="19" max="19" width="6.7265625" bestFit="1" customWidth="1"/>
    <col min="20" max="21" width="15.54296875" customWidth="1"/>
    <col min="22" max="24" width="19.7265625" customWidth="1"/>
    <col min="25" max="25" width="14.453125" bestFit="1" customWidth="1"/>
    <col min="26" max="26" width="21.453125" customWidth="1"/>
    <col min="27" max="27" width="17.26953125" customWidth="1"/>
  </cols>
  <sheetData>
    <row r="1" spans="1:27" s="26" customFormat="1" x14ac:dyDescent="0.35">
      <c r="A1" s="25" t="s">
        <v>49</v>
      </c>
      <c r="B1" s="307" t="s">
        <v>0</v>
      </c>
      <c r="C1" s="307"/>
      <c r="D1" s="307"/>
      <c r="E1" s="305" t="s">
        <v>6</v>
      </c>
      <c r="F1" s="305"/>
      <c r="G1" s="305"/>
      <c r="H1" s="305"/>
      <c r="I1" s="305"/>
      <c r="J1" s="305"/>
      <c r="K1" s="305"/>
      <c r="L1" s="305"/>
      <c r="M1" s="305"/>
      <c r="N1" s="305"/>
      <c r="O1" s="29"/>
      <c r="P1" s="310" t="s">
        <v>30</v>
      </c>
      <c r="Q1" s="310"/>
      <c r="R1" s="310"/>
      <c r="S1" s="310"/>
      <c r="T1" s="310"/>
      <c r="U1" s="39" t="s">
        <v>86</v>
      </c>
      <c r="V1" s="292" t="s">
        <v>22</v>
      </c>
      <c r="W1" s="292"/>
      <c r="X1" s="292"/>
      <c r="Y1" s="312" t="s">
        <v>155</v>
      </c>
      <c r="Z1" s="312"/>
      <c r="AA1" s="256" t="s">
        <v>156</v>
      </c>
    </row>
    <row r="2" spans="1:27" s="21" customFormat="1" ht="72.5" x14ac:dyDescent="0.35">
      <c r="A2" s="20"/>
      <c r="B2" s="24" t="s">
        <v>43</v>
      </c>
      <c r="C2" s="21" t="s">
        <v>78</v>
      </c>
      <c r="D2" s="21" t="s">
        <v>79</v>
      </c>
      <c r="E2" s="21" t="s">
        <v>25</v>
      </c>
      <c r="F2" s="30" t="s">
        <v>36</v>
      </c>
      <c r="G2" s="30" t="s">
        <v>33</v>
      </c>
      <c r="H2" s="21" t="s">
        <v>27</v>
      </c>
      <c r="I2" s="52" t="s">
        <v>81</v>
      </c>
      <c r="J2" s="52" t="s">
        <v>44</v>
      </c>
      <c r="K2" s="52" t="s">
        <v>45</v>
      </c>
      <c r="L2" s="52" t="s">
        <v>24</v>
      </c>
      <c r="M2" s="30" t="s">
        <v>40</v>
      </c>
      <c r="N2" s="53" t="s">
        <v>35</v>
      </c>
      <c r="O2" s="53" t="s">
        <v>46</v>
      </c>
      <c r="P2" s="21" t="s">
        <v>31</v>
      </c>
      <c r="Q2" s="21" t="s">
        <v>47</v>
      </c>
      <c r="R2" s="21" t="s">
        <v>32</v>
      </c>
      <c r="S2" s="21" t="s">
        <v>26</v>
      </c>
      <c r="T2" s="22" t="s">
        <v>88</v>
      </c>
      <c r="U2" s="24" t="s">
        <v>87</v>
      </c>
      <c r="V2" s="51" t="s">
        <v>71</v>
      </c>
      <c r="W2" s="27" t="s">
        <v>84</v>
      </c>
      <c r="X2" s="24" t="s">
        <v>85</v>
      </c>
      <c r="Y2" s="36" t="s">
        <v>48</v>
      </c>
      <c r="Z2" s="24" t="s">
        <v>38</v>
      </c>
      <c r="AA2" s="20" t="s">
        <v>157</v>
      </c>
    </row>
    <row r="3" spans="1:27" x14ac:dyDescent="0.35">
      <c r="A3" t="s">
        <v>4</v>
      </c>
      <c r="B3" s="105">
        <v>107.6</v>
      </c>
      <c r="C3" s="4">
        <v>0</v>
      </c>
      <c r="D3" s="4">
        <v>0</v>
      </c>
      <c r="E3" s="4">
        <f>B3</f>
        <v>107.6</v>
      </c>
      <c r="F3" s="31">
        <v>0.33</v>
      </c>
      <c r="G3" s="31">
        <f>E3*F3</f>
        <v>35.508000000000003</v>
      </c>
      <c r="I3" s="31">
        <f>I$10*(G3/G$10)</f>
        <v>29.994217118339282</v>
      </c>
      <c r="J3" s="31">
        <f>J$10*I3/I$10</f>
        <v>4.6069549168691051</v>
      </c>
      <c r="K3" s="55">
        <f>E3*J$10/I$10</f>
        <v>16.526797385620913</v>
      </c>
      <c r="L3" s="31"/>
      <c r="M3" s="31"/>
      <c r="N3" s="108"/>
      <c r="O3" s="108"/>
      <c r="P3" t="s">
        <v>98</v>
      </c>
      <c r="Q3">
        <f t="shared" ref="Q3:Q8" si="0">B3+C3-D3-E3</f>
        <v>0</v>
      </c>
      <c r="R3" s="4">
        <v>0</v>
      </c>
      <c r="S3" s="4">
        <v>0</v>
      </c>
      <c r="T3" s="6">
        <f>Q3-R3-S3</f>
        <v>0</v>
      </c>
      <c r="U3" s="18">
        <f t="shared" ref="U3:U5" si="1">B3 * (  I3/(B3+C3-D3) + T3/(B3+C3-D3) )</f>
        <v>29.994217118339279</v>
      </c>
      <c r="V3" s="56">
        <f t="shared" ref="V3:V9" si="2">M3+C3</f>
        <v>0</v>
      </c>
      <c r="W3" s="10"/>
      <c r="X3" s="56">
        <f t="shared" ref="X3:X9" si="3">W3+L3</f>
        <v>0</v>
      </c>
      <c r="Y3" s="37">
        <f>O3+Q3-R3</f>
        <v>0</v>
      </c>
      <c r="Z3" s="18">
        <f t="shared" ref="Z3:Z9" si="4">N3+T3</f>
        <v>0</v>
      </c>
    </row>
    <row r="4" spans="1:27" x14ac:dyDescent="0.35">
      <c r="A4" t="s">
        <v>1</v>
      </c>
      <c r="B4" s="105">
        <v>8.98</v>
      </c>
      <c r="C4" s="4">
        <v>0</v>
      </c>
      <c r="D4" s="4">
        <v>0</v>
      </c>
      <c r="E4" s="4">
        <f>B4</f>
        <v>8.98</v>
      </c>
      <c r="F4" s="31">
        <v>1</v>
      </c>
      <c r="G4" s="31">
        <f>E4*F4</f>
        <v>8.98</v>
      </c>
      <c r="I4" s="31">
        <f t="shared" ref="I4:I9" si="5">I$10*(G4/G$10)</f>
        <v>7.5855601476480441</v>
      </c>
      <c r="J4" s="31">
        <f t="shared" ref="J4:J9" si="6">J$10*I4/I$10</f>
        <v>1.1651023756191439</v>
      </c>
      <c r="K4" s="55">
        <f t="shared" ref="K4:K9" si="7">E4*J$10/I$10</f>
        <v>1.3792810457516338</v>
      </c>
      <c r="L4" s="31"/>
      <c r="M4" s="31"/>
      <c r="N4" s="108"/>
      <c r="O4" s="108"/>
      <c r="Q4">
        <f t="shared" si="0"/>
        <v>0</v>
      </c>
      <c r="R4" s="4">
        <v>0</v>
      </c>
      <c r="S4" s="4">
        <v>0</v>
      </c>
      <c r="T4" s="6">
        <f t="shared" ref="T4:T8" si="8">Q4-R4-S4</f>
        <v>0</v>
      </c>
      <c r="U4" s="18">
        <f t="shared" si="1"/>
        <v>7.5855601476480441</v>
      </c>
      <c r="V4" s="56">
        <f t="shared" si="2"/>
        <v>0</v>
      </c>
      <c r="W4" s="10"/>
      <c r="X4" s="56">
        <f t="shared" si="3"/>
        <v>0</v>
      </c>
      <c r="Y4" s="37">
        <f t="shared" ref="Y4:Y9" si="9">O4+Q4-R4</f>
        <v>0</v>
      </c>
      <c r="Z4" s="18">
        <f t="shared" si="4"/>
        <v>0</v>
      </c>
    </row>
    <row r="5" spans="1:27" x14ac:dyDescent="0.35">
      <c r="A5" t="s">
        <v>23</v>
      </c>
      <c r="B5" s="105">
        <v>20.190000000000001</v>
      </c>
      <c r="C5" s="4">
        <v>1.1000000000000001</v>
      </c>
      <c r="D5" s="4">
        <v>0.56000000000000005</v>
      </c>
      <c r="E5" s="4">
        <f>5.72</f>
        <v>5.72</v>
      </c>
      <c r="F5" s="31">
        <v>0.38</v>
      </c>
      <c r="G5" s="31">
        <f>E5*F5</f>
        <v>2.1736</v>
      </c>
      <c r="I5" s="31">
        <f t="shared" si="5"/>
        <v>1.8360772312837181</v>
      </c>
      <c r="J5" s="31">
        <f t="shared" si="6"/>
        <v>0.28201186232135539</v>
      </c>
      <c r="K5" s="55">
        <f t="shared" si="7"/>
        <v>0.87856209150326792</v>
      </c>
      <c r="L5" s="31"/>
      <c r="M5" s="31"/>
      <c r="N5" s="108"/>
      <c r="O5" s="108"/>
      <c r="Q5">
        <f t="shared" si="0"/>
        <v>15.010000000000005</v>
      </c>
      <c r="R5" s="4">
        <v>0</v>
      </c>
      <c r="S5" s="4">
        <f>0.08+0.06</f>
        <v>0.14000000000000001</v>
      </c>
      <c r="T5" s="6">
        <f t="shared" si="8"/>
        <v>14.870000000000005</v>
      </c>
      <c r="U5" s="18">
        <f t="shared" si="1"/>
        <v>16.270897216575896</v>
      </c>
      <c r="V5" s="56">
        <f t="shared" si="2"/>
        <v>1.1000000000000001</v>
      </c>
      <c r="W5" s="10">
        <f>C5 * (  I5/(B5+C5-D5) + T5/(B5+C5-D5) )</f>
        <v>0.88647780773816176</v>
      </c>
      <c r="X5" s="56">
        <f t="shared" si="3"/>
        <v>0.88647780773816176</v>
      </c>
      <c r="Y5" s="37">
        <f t="shared" si="9"/>
        <v>15.010000000000005</v>
      </c>
      <c r="Z5" s="18">
        <f t="shared" si="4"/>
        <v>14.870000000000005</v>
      </c>
    </row>
    <row r="6" spans="1:27" x14ac:dyDescent="0.35">
      <c r="A6" t="s">
        <v>7</v>
      </c>
      <c r="B6" s="105">
        <v>1</v>
      </c>
      <c r="C6" s="4">
        <f>55.78+15.39-1+1.82+5.813</f>
        <v>77.802999999999997</v>
      </c>
      <c r="D6" s="4">
        <v>0</v>
      </c>
      <c r="E6" s="4">
        <f>1.56</f>
        <v>1.56</v>
      </c>
      <c r="F6" s="31">
        <v>0.38</v>
      </c>
      <c r="G6" s="31">
        <f>E6*F6</f>
        <v>0.59279999999999999</v>
      </c>
      <c r="I6" s="31">
        <f t="shared" si="5"/>
        <v>0.50074833580465039</v>
      </c>
      <c r="J6" s="31">
        <f t="shared" si="6"/>
        <v>7.6912326087642369E-2</v>
      </c>
      <c r="K6" s="55">
        <f t="shared" si="7"/>
        <v>0.23960784313725492</v>
      </c>
      <c r="L6" s="31"/>
      <c r="M6" s="31"/>
      <c r="N6" s="108"/>
      <c r="O6" s="108"/>
      <c r="Q6">
        <f t="shared" si="0"/>
        <v>77.242999999999995</v>
      </c>
      <c r="R6" s="4">
        <f>1.82+5.81</f>
        <v>7.63</v>
      </c>
      <c r="S6" s="4">
        <f>-0.65-0.87+(57.29-56.78)+2+1.54</f>
        <v>2.529999999999998</v>
      </c>
      <c r="T6" s="6">
        <f t="shared" si="8"/>
        <v>67.082999999999998</v>
      </c>
      <c r="U6" s="18">
        <f>B6 * (  I6/(B6+C6-D6) + T6/(B6+C6-D6) )</f>
        <v>0.85762913005602126</v>
      </c>
      <c r="V6" s="56">
        <f t="shared" si="2"/>
        <v>77.802999999999997</v>
      </c>
      <c r="W6" s="10">
        <f>C6 * (  I6/(B6+C6-D6) + T6/(B6+C6-D6) )</f>
        <v>66.726119205748617</v>
      </c>
      <c r="X6" s="56">
        <f t="shared" si="3"/>
        <v>66.726119205748617</v>
      </c>
      <c r="Y6" s="37">
        <f t="shared" si="9"/>
        <v>69.613</v>
      </c>
      <c r="Z6" s="18">
        <f t="shared" si="4"/>
        <v>67.082999999999998</v>
      </c>
      <c r="AA6" s="4">
        <v>20.260000000000002</v>
      </c>
    </row>
    <row r="7" spans="1:27" x14ac:dyDescent="0.35">
      <c r="A7" t="s">
        <v>20</v>
      </c>
      <c r="B7" s="105">
        <v>0.01</v>
      </c>
      <c r="C7" s="4">
        <v>36.72</v>
      </c>
      <c r="D7" s="4">
        <v>0</v>
      </c>
      <c r="E7" s="4">
        <f>5.8</f>
        <v>5.8</v>
      </c>
      <c r="F7" s="31">
        <v>0.44</v>
      </c>
      <c r="G7" s="31">
        <f t="shared" ref="G7:G8" si="10">E7*F7</f>
        <v>2.552</v>
      </c>
      <c r="I7" s="31">
        <f t="shared" si="5"/>
        <v>2.1557182067703571</v>
      </c>
      <c r="J7" s="31">
        <f t="shared" si="6"/>
        <v>0.3311070448307411</v>
      </c>
      <c r="K7" s="55">
        <f t="shared" si="7"/>
        <v>0.89084967320261432</v>
      </c>
      <c r="L7" s="31"/>
      <c r="M7" s="31"/>
      <c r="N7" s="108"/>
      <c r="O7" s="108"/>
      <c r="Q7">
        <f t="shared" si="0"/>
        <v>30.929999999999996</v>
      </c>
      <c r="R7" s="4">
        <v>0</v>
      </c>
      <c r="S7" s="4">
        <f>-0.06+1.39</f>
        <v>1.3299999999999998</v>
      </c>
      <c r="T7" s="6">
        <f t="shared" si="8"/>
        <v>29.599999999999998</v>
      </c>
      <c r="U7" s="18">
        <f t="shared" ref="U7:U8" si="11">B7 * (  I7/(B7+C7-D7) + T7/(B7+C7-D7) )</f>
        <v>8.6457169090036375E-3</v>
      </c>
      <c r="V7" s="56">
        <f t="shared" si="2"/>
        <v>36.72</v>
      </c>
      <c r="W7" s="10">
        <f>C7 * (  I7/(B7+C7-D7) + T7/(B7+C7-D7) )</f>
        <v>31.747072489861353</v>
      </c>
      <c r="X7" s="56">
        <f t="shared" si="3"/>
        <v>31.747072489861353</v>
      </c>
      <c r="Y7" s="37">
        <f t="shared" si="9"/>
        <v>30.929999999999996</v>
      </c>
      <c r="Z7" s="18">
        <f t="shared" si="4"/>
        <v>29.599999999999998</v>
      </c>
      <c r="AA7" s="4">
        <f>5.32*X7/V7</f>
        <v>4.5995213955899352</v>
      </c>
    </row>
    <row r="8" spans="1:27" x14ac:dyDescent="0.35">
      <c r="A8" t="s">
        <v>2</v>
      </c>
      <c r="B8" s="105">
        <v>0</v>
      </c>
      <c r="C8" s="4">
        <v>9.09</v>
      </c>
      <c r="D8" s="4">
        <v>0</v>
      </c>
      <c r="E8" s="4">
        <v>2.84</v>
      </c>
      <c r="F8" s="31">
        <v>0.32</v>
      </c>
      <c r="G8" s="31">
        <f t="shared" si="10"/>
        <v>0.90879999999999994</v>
      </c>
      <c r="I8" s="31">
        <f t="shared" si="5"/>
        <v>0.76767896015395787</v>
      </c>
      <c r="J8" s="31">
        <f t="shared" si="6"/>
        <v>0.11791147427201312</v>
      </c>
      <c r="K8" s="55">
        <f t="shared" si="7"/>
        <v>0.43620915032679736</v>
      </c>
      <c r="L8" s="31"/>
      <c r="M8" s="31"/>
      <c r="N8" s="108"/>
      <c r="O8" s="108"/>
      <c r="Q8">
        <f t="shared" si="0"/>
        <v>6.25</v>
      </c>
      <c r="R8" s="4">
        <v>0</v>
      </c>
      <c r="S8" s="4">
        <f>4.34+0.5</f>
        <v>4.84</v>
      </c>
      <c r="T8" s="6">
        <f t="shared" si="8"/>
        <v>1.4100000000000001</v>
      </c>
      <c r="U8" s="18">
        <f t="shared" si="11"/>
        <v>0</v>
      </c>
      <c r="V8" s="56">
        <f t="shared" si="2"/>
        <v>9.09</v>
      </c>
      <c r="W8" s="10">
        <f>C8 * (  I8/(B8+C8-D8) + T8/(B8+C8-D8) )</f>
        <v>2.1776789601539579</v>
      </c>
      <c r="X8" s="56">
        <f t="shared" si="3"/>
        <v>2.1776789601539579</v>
      </c>
      <c r="Y8" s="37">
        <f t="shared" si="9"/>
        <v>6.25</v>
      </c>
      <c r="Z8" s="18">
        <f t="shared" si="4"/>
        <v>1.4100000000000001</v>
      </c>
    </row>
    <row r="9" spans="1:27" x14ac:dyDescent="0.35">
      <c r="A9" t="s">
        <v>3</v>
      </c>
      <c r="B9" s="105">
        <v>0</v>
      </c>
      <c r="C9" s="4">
        <v>0</v>
      </c>
      <c r="D9" s="4">
        <v>0</v>
      </c>
      <c r="E9" s="4"/>
      <c r="F9" s="31"/>
      <c r="G9" s="31"/>
      <c r="I9" s="31">
        <f t="shared" si="5"/>
        <v>0</v>
      </c>
      <c r="J9" s="31">
        <f t="shared" si="6"/>
        <v>0</v>
      </c>
      <c r="K9" s="55">
        <f t="shared" si="7"/>
        <v>0</v>
      </c>
      <c r="M9" s="31"/>
      <c r="N9" s="108"/>
      <c r="O9" s="108"/>
      <c r="P9" s="4">
        <f>4.53</f>
        <v>4.53</v>
      </c>
      <c r="R9" s="4">
        <v>0</v>
      </c>
      <c r="S9" s="4">
        <f>0.6</f>
        <v>0.6</v>
      </c>
      <c r="T9" s="6">
        <f>P9-R9-S9</f>
        <v>3.93</v>
      </c>
      <c r="U9" s="18">
        <f>T9</f>
        <v>3.93</v>
      </c>
      <c r="V9" s="56">
        <f t="shared" si="2"/>
        <v>0</v>
      </c>
      <c r="W9" s="10"/>
      <c r="X9" s="56">
        <f t="shared" si="3"/>
        <v>0</v>
      </c>
      <c r="Y9" s="37">
        <f t="shared" si="9"/>
        <v>0</v>
      </c>
      <c r="Z9" s="18">
        <f t="shared" si="4"/>
        <v>3.93</v>
      </c>
    </row>
    <row r="10" spans="1:27" s="13" customFormat="1" x14ac:dyDescent="0.35">
      <c r="A10" s="12" t="s">
        <v>5</v>
      </c>
      <c r="B10" s="106">
        <f>SUM(B3:B9)</f>
        <v>137.78</v>
      </c>
      <c r="C10" s="107">
        <f>SUM(C3:C9)</f>
        <v>124.71299999999999</v>
      </c>
      <c r="D10" s="107">
        <f t="shared" ref="D10:Y10" si="12">SUM(D3:D9)</f>
        <v>0.56000000000000005</v>
      </c>
      <c r="E10" s="107">
        <f t="shared" si="12"/>
        <v>132.5</v>
      </c>
      <c r="F10" s="32"/>
      <c r="G10" s="32">
        <f>SUM(G3:G9)</f>
        <v>50.715199999999996</v>
      </c>
      <c r="H10" s="107">
        <v>49.5</v>
      </c>
      <c r="I10" s="107">
        <f>42.84</f>
        <v>42.84</v>
      </c>
      <c r="J10" s="107">
        <v>6.58</v>
      </c>
      <c r="K10" s="33">
        <f>SUM(K3:K9)</f>
        <v>20.351307189542478</v>
      </c>
      <c r="L10" s="189">
        <f>SUM('Mix électriques EU (TWh)'!E2:K2)/11.63</f>
        <v>1.1661070507308677</v>
      </c>
      <c r="M10" s="32"/>
      <c r="O10" s="33"/>
      <c r="P10" s="13">
        <f t="shared" ref="P10:W10" si="13">SUM(P3:P9)</f>
        <v>4.53</v>
      </c>
      <c r="Q10" s="13">
        <f t="shared" si="13"/>
        <v>129.43299999999999</v>
      </c>
      <c r="R10" s="13">
        <f t="shared" si="13"/>
        <v>7.63</v>
      </c>
      <c r="S10" s="13">
        <f t="shared" si="13"/>
        <v>9.4399999999999977</v>
      </c>
      <c r="T10" s="13">
        <f t="shared" si="13"/>
        <v>116.893</v>
      </c>
      <c r="U10" s="19">
        <f>SUM(U3:U9)</f>
        <v>58.64694932952824</v>
      </c>
      <c r="V10" s="59">
        <f t="shared" si="13"/>
        <v>124.71299999999999</v>
      </c>
      <c r="W10" s="28">
        <f t="shared" si="13"/>
        <v>101.53734846350208</v>
      </c>
      <c r="X10" s="59">
        <f t="shared" si="12"/>
        <v>101.53734846350208</v>
      </c>
      <c r="Y10" s="38">
        <f t="shared" si="12"/>
        <v>121.803</v>
      </c>
      <c r="Z10" s="223">
        <f>1794.731215/11.63</f>
        <v>154.31910705073085</v>
      </c>
      <c r="AA10" s="13">
        <f>SUM(AA3:AA9)</f>
        <v>24.859521395589937</v>
      </c>
    </row>
    <row r="11" spans="1:27" x14ac:dyDescent="0.35">
      <c r="G11" s="7" t="s">
        <v>80</v>
      </c>
      <c r="H11" s="11">
        <f>G10/H10</f>
        <v>1.0245494949494949</v>
      </c>
      <c r="I11" s="31">
        <f>I10*11.63</f>
        <v>498.22920000000005</v>
      </c>
      <c r="O11" s="109"/>
    </row>
    <row r="12" spans="1:27" ht="15" thickBot="1" x14ac:dyDescent="0.4"/>
    <row r="13" spans="1:27" s="76" customFormat="1" ht="160" thickBot="1" x14ac:dyDescent="0.4">
      <c r="B13" s="220" t="s">
        <v>82</v>
      </c>
      <c r="C13" s="221" t="s">
        <v>108</v>
      </c>
      <c r="D13" s="222" t="s">
        <v>83</v>
      </c>
      <c r="AA13" s="76" t="s">
        <v>161</v>
      </c>
    </row>
    <row r="14" spans="1:27" x14ac:dyDescent="0.35">
      <c r="J14" s="16"/>
      <c r="K14" s="16"/>
      <c r="L14" s="16"/>
      <c r="M14" s="16"/>
      <c r="N14" s="16"/>
      <c r="O14" s="16"/>
      <c r="P14" s="16"/>
      <c r="Q14" s="16"/>
      <c r="R14" s="16"/>
      <c r="S14" s="16"/>
      <c r="T14" s="16"/>
      <c r="U14" s="16"/>
      <c r="V14" s="16"/>
    </row>
    <row r="15" spans="1:27" x14ac:dyDescent="0.35">
      <c r="J15" s="16"/>
      <c r="K15" s="16"/>
      <c r="L15" s="15"/>
      <c r="M15" s="15"/>
      <c r="N15" s="15"/>
      <c r="O15" s="15"/>
      <c r="P15" s="15"/>
      <c r="Q15" s="15"/>
      <c r="R15" s="15"/>
      <c r="S15" s="15"/>
      <c r="T15" s="15"/>
      <c r="U15" s="15"/>
      <c r="V15" s="15"/>
      <c r="W15" s="15"/>
      <c r="X15" s="15"/>
      <c r="Y15" s="15"/>
    </row>
    <row r="16" spans="1:27" x14ac:dyDescent="0.35">
      <c r="J16" s="15"/>
      <c r="K16" s="15"/>
      <c r="L16" s="15"/>
      <c r="M16" s="15"/>
      <c r="N16" s="15"/>
      <c r="O16" s="15"/>
      <c r="P16" s="15"/>
      <c r="Q16" s="15"/>
      <c r="R16" s="15"/>
      <c r="S16" s="15"/>
      <c r="T16" s="15"/>
      <c r="U16" s="15"/>
      <c r="V16" s="15"/>
      <c r="W16" s="15"/>
      <c r="X16" s="15"/>
      <c r="Y16" s="15"/>
    </row>
    <row r="17" spans="10:30" x14ac:dyDescent="0.35">
      <c r="J17" s="16"/>
      <c r="K17" s="16"/>
      <c r="L17" s="15"/>
      <c r="M17" s="15"/>
      <c r="N17" s="16"/>
      <c r="O17" s="16"/>
      <c r="P17" s="16"/>
      <c r="Q17" s="16"/>
      <c r="R17" s="16"/>
      <c r="S17" s="16"/>
      <c r="T17" s="16"/>
      <c r="U17" s="16"/>
      <c r="V17" s="16"/>
      <c r="W17" s="16"/>
      <c r="X17" s="16"/>
      <c r="Y17" s="16"/>
    </row>
    <row r="18" spans="10:30" x14ac:dyDescent="0.35">
      <c r="J18" s="16"/>
      <c r="K18" s="16"/>
      <c r="L18" s="15"/>
      <c r="M18" s="15"/>
      <c r="N18" s="16"/>
      <c r="O18" s="16"/>
      <c r="P18" s="16"/>
      <c r="Q18" s="16"/>
      <c r="R18" s="16"/>
      <c r="S18" s="16"/>
      <c r="T18" s="16"/>
      <c r="U18" s="16"/>
      <c r="V18" s="16"/>
      <c r="W18" s="16"/>
      <c r="X18" s="16"/>
      <c r="Y18" s="16"/>
    </row>
    <row r="19" spans="10:30" x14ac:dyDescent="0.35">
      <c r="J19" s="16"/>
      <c r="K19" s="16"/>
      <c r="L19" s="15"/>
      <c r="M19" s="15"/>
      <c r="N19" s="16"/>
      <c r="O19" s="16"/>
      <c r="P19" s="16"/>
      <c r="Q19" s="16"/>
      <c r="R19" s="16"/>
      <c r="S19" s="16"/>
      <c r="T19" s="16"/>
      <c r="U19" s="16"/>
      <c r="V19" s="16"/>
      <c r="W19" s="16"/>
      <c r="X19" s="16"/>
      <c r="Y19" s="16"/>
    </row>
    <row r="20" spans="10:30" x14ac:dyDescent="0.35">
      <c r="J20" s="16"/>
      <c r="K20" s="16"/>
      <c r="L20" s="15"/>
      <c r="M20" s="15"/>
      <c r="N20" s="16"/>
      <c r="O20" s="16"/>
      <c r="P20" s="16"/>
      <c r="Q20" s="16"/>
      <c r="R20" s="16"/>
      <c r="S20" s="16"/>
      <c r="T20" s="16"/>
      <c r="U20" s="16"/>
      <c r="V20" s="16"/>
      <c r="W20" s="16"/>
      <c r="X20" s="16"/>
      <c r="Y20" s="16"/>
    </row>
    <row r="21" spans="10:30" x14ac:dyDescent="0.35">
      <c r="J21" s="16"/>
      <c r="K21" s="16"/>
      <c r="L21" s="15"/>
      <c r="M21" s="15"/>
      <c r="N21" s="16"/>
      <c r="O21" s="16"/>
      <c r="P21" s="16"/>
      <c r="Q21" s="16"/>
      <c r="R21" s="16"/>
      <c r="S21" s="16"/>
      <c r="T21" s="16"/>
      <c r="U21" s="16"/>
      <c r="V21" s="16"/>
      <c r="W21" s="16"/>
      <c r="X21" s="16"/>
      <c r="Y21" s="16"/>
    </row>
    <row r="22" spans="10:30" x14ac:dyDescent="0.35">
      <c r="J22" s="16"/>
      <c r="K22" s="16"/>
      <c r="L22" s="15"/>
      <c r="M22" s="15"/>
      <c r="N22" s="16"/>
      <c r="O22" s="16"/>
      <c r="P22" s="16"/>
      <c r="Q22" s="16"/>
      <c r="R22" s="16"/>
      <c r="S22" s="16"/>
      <c r="T22" s="16"/>
      <c r="U22" s="16"/>
      <c r="V22" s="16"/>
      <c r="W22" s="16"/>
      <c r="X22" s="16"/>
      <c r="Y22" s="16"/>
    </row>
    <row r="23" spans="10:30" x14ac:dyDescent="0.35">
      <c r="J23" s="15"/>
      <c r="K23" s="15"/>
      <c r="L23" s="15"/>
      <c r="M23" s="15"/>
      <c r="N23" s="15"/>
      <c r="O23" s="15"/>
      <c r="P23" s="15"/>
      <c r="Q23" s="15"/>
      <c r="R23" s="15"/>
      <c r="S23" s="15"/>
      <c r="T23" s="15"/>
      <c r="U23" s="15"/>
      <c r="V23" s="15"/>
      <c r="W23" s="15"/>
      <c r="X23" s="15"/>
      <c r="Y23" s="15"/>
      <c r="Z23" s="2"/>
      <c r="AA23" s="2"/>
      <c r="AB23" s="2"/>
      <c r="AC23" s="2"/>
      <c r="AD23" s="2"/>
    </row>
    <row r="24" spans="10:30" x14ac:dyDescent="0.35">
      <c r="J24" s="16"/>
      <c r="K24" s="16"/>
      <c r="L24" s="16"/>
      <c r="M24" s="16"/>
      <c r="N24" s="16"/>
      <c r="O24" s="16"/>
      <c r="P24" s="16"/>
      <c r="Q24" s="16"/>
      <c r="R24" s="16"/>
      <c r="S24" s="16"/>
      <c r="T24" s="16"/>
      <c r="U24" s="16"/>
      <c r="V24" s="16"/>
    </row>
    <row r="25" spans="10:30" x14ac:dyDescent="0.35">
      <c r="J25" s="16"/>
      <c r="K25" s="16"/>
      <c r="L25" s="16"/>
      <c r="M25" s="16"/>
      <c r="N25" s="16"/>
      <c r="O25" s="16"/>
      <c r="P25" s="16"/>
      <c r="Q25" s="16"/>
      <c r="R25" s="16"/>
      <c r="S25" s="16"/>
      <c r="T25" s="16"/>
      <c r="U25" s="16"/>
      <c r="V25" s="16"/>
    </row>
    <row r="26" spans="10:30" x14ac:dyDescent="0.35">
      <c r="J26" s="16"/>
      <c r="K26" s="16"/>
      <c r="L26" s="16"/>
      <c r="M26" s="16"/>
      <c r="N26" s="16"/>
      <c r="O26" s="16"/>
      <c r="P26" s="16"/>
      <c r="Q26" s="16"/>
      <c r="R26" s="16"/>
      <c r="S26" s="16"/>
      <c r="T26" s="16"/>
      <c r="U26" s="16"/>
      <c r="V26" s="16"/>
    </row>
  </sheetData>
  <mergeCells count="5">
    <mergeCell ref="B1:D1"/>
    <mergeCell ref="E1:N1"/>
    <mergeCell ref="P1:T1"/>
    <mergeCell ref="V1:X1"/>
    <mergeCell ref="Y1:Z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5E40A-2CE3-48A6-8202-6FCE90AEA844}">
  <dimension ref="A1:AE23"/>
  <sheetViews>
    <sheetView zoomScale="85" zoomScaleNormal="85" workbookViewId="0">
      <pane xSplit="1" topLeftCell="P1" activePane="topRight" state="frozen"/>
      <selection pane="topRight" activeCell="F8" sqref="F8"/>
    </sheetView>
  </sheetViews>
  <sheetFormatPr baseColWidth="10" defaultRowHeight="14.5" x14ac:dyDescent="0.35"/>
  <cols>
    <col min="1" max="1" width="14.7265625" customWidth="1"/>
    <col min="2" max="2" width="17.54296875" customWidth="1"/>
    <col min="3" max="3" width="17.81640625" customWidth="1"/>
    <col min="4" max="4" width="17.26953125" customWidth="1"/>
    <col min="5" max="5" width="22" customWidth="1"/>
    <col min="6" max="6" width="17.26953125" customWidth="1"/>
    <col min="7" max="9" width="21.1796875" customWidth="1"/>
    <col min="10" max="11" width="24.26953125" customWidth="1"/>
    <col min="12" max="13" width="25.1796875" customWidth="1"/>
    <col min="14" max="15" width="15.54296875" customWidth="1"/>
    <col min="16" max="16" width="16" customWidth="1"/>
    <col min="17" max="17" width="15.81640625" customWidth="1"/>
    <col min="18" max="18" width="18.453125" customWidth="1"/>
    <col min="19" max="19" width="12" bestFit="1" customWidth="1"/>
    <col min="20" max="21" width="15.54296875" customWidth="1"/>
    <col min="22" max="24" width="19.7265625" customWidth="1"/>
    <col min="25" max="25" width="14.7265625" bestFit="1" customWidth="1"/>
    <col min="26" max="26" width="21.453125" customWidth="1"/>
    <col min="27" max="27" width="17.7265625" customWidth="1"/>
  </cols>
  <sheetData>
    <row r="1" spans="1:27" s="26" customFormat="1" x14ac:dyDescent="0.35">
      <c r="A1" s="25" t="s">
        <v>50</v>
      </c>
      <c r="B1" s="307" t="s">
        <v>0</v>
      </c>
      <c r="C1" s="307"/>
      <c r="D1" s="307"/>
      <c r="E1" s="305" t="s">
        <v>6</v>
      </c>
      <c r="F1" s="305"/>
      <c r="G1" s="305"/>
      <c r="H1" s="305"/>
      <c r="I1" s="305"/>
      <c r="J1" s="305"/>
      <c r="K1" s="305"/>
      <c r="L1" s="305"/>
      <c r="M1" s="305"/>
      <c r="N1" s="305"/>
      <c r="O1" s="29"/>
      <c r="P1" s="310" t="s">
        <v>30</v>
      </c>
      <c r="Q1" s="310"/>
      <c r="R1" s="310"/>
      <c r="S1" s="310"/>
      <c r="T1" s="310"/>
      <c r="U1" s="39" t="s">
        <v>86</v>
      </c>
      <c r="V1" s="292" t="s">
        <v>22</v>
      </c>
      <c r="W1" s="292"/>
      <c r="X1" s="292"/>
      <c r="Y1" s="312" t="s">
        <v>155</v>
      </c>
      <c r="Z1" s="312"/>
      <c r="AA1" s="256" t="s">
        <v>156</v>
      </c>
    </row>
    <row r="2" spans="1:27" s="21" customFormat="1" ht="72.5" x14ac:dyDescent="0.35">
      <c r="A2" s="50"/>
      <c r="B2" s="51" t="s">
        <v>43</v>
      </c>
      <c r="C2" s="52" t="s">
        <v>39</v>
      </c>
      <c r="D2" s="52" t="s">
        <v>29</v>
      </c>
      <c r="E2" s="52" t="s">
        <v>25</v>
      </c>
      <c r="F2" s="52" t="s">
        <v>36</v>
      </c>
      <c r="G2" s="52" t="s">
        <v>33</v>
      </c>
      <c r="H2" s="52" t="s">
        <v>27</v>
      </c>
      <c r="I2" s="52" t="s">
        <v>28</v>
      </c>
      <c r="J2" s="52" t="s">
        <v>44</v>
      </c>
      <c r="K2" s="52" t="s">
        <v>45</v>
      </c>
      <c r="L2" s="52" t="s">
        <v>24</v>
      </c>
      <c r="M2" s="52" t="s">
        <v>40</v>
      </c>
      <c r="N2" s="53" t="s">
        <v>35</v>
      </c>
      <c r="O2" s="53" t="s">
        <v>46</v>
      </c>
      <c r="P2" s="52" t="s">
        <v>31</v>
      </c>
      <c r="Q2" s="52" t="s">
        <v>47</v>
      </c>
      <c r="R2" s="52" t="s">
        <v>32</v>
      </c>
      <c r="S2" s="52" t="s">
        <v>26</v>
      </c>
      <c r="T2" s="53" t="s">
        <v>34</v>
      </c>
      <c r="U2" s="24" t="s">
        <v>87</v>
      </c>
      <c r="V2" s="51" t="s">
        <v>37</v>
      </c>
      <c r="W2" s="54" t="s">
        <v>41</v>
      </c>
      <c r="X2" s="51" t="s">
        <v>42</v>
      </c>
      <c r="Y2" s="51" t="s">
        <v>48</v>
      </c>
      <c r="Z2" s="51" t="s">
        <v>38</v>
      </c>
      <c r="AA2" s="20" t="s">
        <v>157</v>
      </c>
    </row>
    <row r="3" spans="1:27" s="49" customFormat="1" x14ac:dyDescent="0.35">
      <c r="A3" s="55" t="s">
        <v>4</v>
      </c>
      <c r="B3" s="56">
        <f>'Données SDES (Mtep)'!B3 * $D$13</f>
        <v>1251.3879999999999</v>
      </c>
      <c r="C3">
        <f>'Données SDES (Mtep)'!C3 * $D$13</f>
        <v>0</v>
      </c>
      <c r="D3">
        <f>'Données SDES (Mtep)'!D3 * $D$13</f>
        <v>0</v>
      </c>
      <c r="E3">
        <f>'Données SDES (Mtep)'!E3 * $D$13</f>
        <v>1251.3879999999999</v>
      </c>
      <c r="F3">
        <f>'Données SDES (Mtep)'!F3 * $D$13</f>
        <v>3.8379000000000003</v>
      </c>
      <c r="G3">
        <f>'Données SDES (Mtep)'!G3 * $D$13</f>
        <v>412.95804000000004</v>
      </c>
      <c r="H3"/>
      <c r="I3">
        <f>'Données SDES (Mtep)'!I3 * $D$13</f>
        <v>348.83274508628585</v>
      </c>
      <c r="J3">
        <f>'Données SDES (Mtep)'!J3 * $D$13</f>
        <v>53.578885683187693</v>
      </c>
      <c r="K3">
        <f>'Données SDES (Mtep)'!K3 * $D$13</f>
        <v>192.20665359477124</v>
      </c>
      <c r="L3"/>
      <c r="M3"/>
      <c r="N3"/>
      <c r="O3"/>
      <c r="P3"/>
      <c r="Q3">
        <f>'Données SDES (Mtep)'!Q3 * $D$13</f>
        <v>0</v>
      </c>
      <c r="R3">
        <f>'Données SDES (Mtep)'!R3 * $D$13</f>
        <v>0</v>
      </c>
      <c r="S3">
        <f>'Données SDES (Mtep)'!S3 * $D$13</f>
        <v>0</v>
      </c>
      <c r="T3">
        <f>'Données SDES (Mtep)'!T3 * $D$13</f>
        <v>0</v>
      </c>
      <c r="U3" s="56">
        <f>'Données SDES (Mtep)'!U3 * $D$13</f>
        <v>348.83274508628585</v>
      </c>
      <c r="V3" s="56">
        <f>'Données SDES (Mtep)'!V3 * $D$13</f>
        <v>0</v>
      </c>
      <c r="W3">
        <f>'Données SDES (Mtep)'!W3 * $D$13</f>
        <v>0</v>
      </c>
      <c r="X3" s="56">
        <f>'Données SDES (Mtep)'!X3 * $D$13</f>
        <v>0</v>
      </c>
      <c r="Y3" s="56">
        <f>'Données SDES (Mtep)'!Y3 * $D$13</f>
        <v>0</v>
      </c>
      <c r="Z3" s="56">
        <f>'Données SDES (Mtep)'!Z3 * $D$13</f>
        <v>0</v>
      </c>
      <c r="AA3"/>
    </row>
    <row r="4" spans="1:27" s="49" customFormat="1" x14ac:dyDescent="0.35">
      <c r="A4" s="55" t="s">
        <v>1</v>
      </c>
      <c r="B4" s="56">
        <f>'Données SDES (Mtep)'!B4 * 'Données SDES converties (TWh)'!$D$13</f>
        <v>104.43740000000001</v>
      </c>
      <c r="C4">
        <f>'Données SDES (Mtep)'!C4 * 'Données SDES converties (TWh)'!$D$13</f>
        <v>0</v>
      </c>
      <c r="D4">
        <f>'Données SDES (Mtep)'!D4 * 'Données SDES converties (TWh)'!$D$13</f>
        <v>0</v>
      </c>
      <c r="E4">
        <f>'Données SDES (Mtep)'!E4 * 'Données SDES converties (TWh)'!$D$13</f>
        <v>104.43740000000001</v>
      </c>
      <c r="F4">
        <f>'Données SDES (Mtep)'!F4 * 'Données SDES converties (TWh)'!$D$13</f>
        <v>11.63</v>
      </c>
      <c r="G4">
        <f>'Données SDES (Mtep)'!G4 * 'Données SDES converties (TWh)'!$D$13</f>
        <v>104.43740000000001</v>
      </c>
      <c r="H4"/>
      <c r="I4">
        <f>'Données SDES (Mtep)'!I4 * 'Données SDES converties (TWh)'!$D$13</f>
        <v>88.220064517146753</v>
      </c>
      <c r="J4">
        <f>'Données SDES (Mtep)'!J4 * 'Données SDES converties (TWh)'!$D$13</f>
        <v>13.550140628450643</v>
      </c>
      <c r="K4">
        <f>'Données SDES (Mtep)'!K4 * 'Données SDES converties (TWh)'!$D$13</f>
        <v>16.041038562091501</v>
      </c>
      <c r="L4"/>
      <c r="M4"/>
      <c r="N4"/>
      <c r="O4"/>
      <c r="P4"/>
      <c r="Q4">
        <f>'Données SDES (Mtep)'!Q4 * 'Données SDES converties (TWh)'!$D$13</f>
        <v>0</v>
      </c>
      <c r="R4">
        <f>'Données SDES (Mtep)'!R4 * 'Données SDES converties (TWh)'!$D$13</f>
        <v>0</v>
      </c>
      <c r="S4">
        <f>'Données SDES (Mtep)'!S4 * 'Données SDES converties (TWh)'!$D$13</f>
        <v>0</v>
      </c>
      <c r="T4">
        <f>'Données SDES (Mtep)'!T4 * 'Données SDES converties (TWh)'!$D$13</f>
        <v>0</v>
      </c>
      <c r="U4" s="56">
        <f>'Données SDES (Mtep)'!U4 * $D$13</f>
        <v>88.220064517146753</v>
      </c>
      <c r="V4" s="57">
        <f>'Données SDES (Mtep)'!V4 * 'Données SDES converties (TWh)'!$D$13</f>
        <v>0</v>
      </c>
      <c r="W4" s="40">
        <f>'Données SDES (Mtep)'!W4 * 'Données SDES converties (TWh)'!$D$13</f>
        <v>0</v>
      </c>
      <c r="X4" s="57">
        <f>'Données SDES (Mtep)'!X4 * 'Données SDES converties (TWh)'!$D$13</f>
        <v>0</v>
      </c>
      <c r="Y4" s="57">
        <f>'Données SDES (Mtep)'!Y4 * 'Données SDES converties (TWh)'!$D$13</f>
        <v>0</v>
      </c>
      <c r="Z4" s="57">
        <f>'Données SDES (Mtep)'!Z4 * 'Données SDES converties (TWh)'!$D$13</f>
        <v>0</v>
      </c>
      <c r="AA4"/>
    </row>
    <row r="5" spans="1:27" s="49" customFormat="1" x14ac:dyDescent="0.35">
      <c r="A5" s="55" t="s">
        <v>23</v>
      </c>
      <c r="B5" s="56">
        <f>'Données SDES (Mtep)'!B5 * 'Données SDES converties (TWh)'!$D$13</f>
        <v>234.80970000000002</v>
      </c>
      <c r="C5" s="40">
        <f>'Données SDES (Mtep)'!C5 * 'Données SDES converties (TWh)'!$D$13</f>
        <v>12.793000000000001</v>
      </c>
      <c r="D5" s="40">
        <f>'Données SDES (Mtep)'!D5 * 'Données SDES converties (TWh)'!$D$13</f>
        <v>6.5128000000000013</v>
      </c>
      <c r="E5" s="40">
        <f>'Données SDES (Mtep)'!E5 * 'Données SDES converties (TWh)'!$D$13</f>
        <v>66.523600000000002</v>
      </c>
      <c r="F5" s="40">
        <f>'Données SDES (Mtep)'!F5 * 'Données SDES converties (TWh)'!$D$13</f>
        <v>4.4194000000000004</v>
      </c>
      <c r="G5" s="40">
        <f>'Données SDES (Mtep)'!G5 * 'Données SDES converties (TWh)'!$D$13</f>
        <v>25.278968000000003</v>
      </c>
      <c r="H5" s="40"/>
      <c r="I5" s="40">
        <f>'Données SDES (Mtep)'!I5 * 'Données SDES converties (TWh)'!$D$13</f>
        <v>21.353578199829645</v>
      </c>
      <c r="J5" s="40">
        <f>'Données SDES (Mtep)'!J5 * 'Données SDES converties (TWh)'!$D$13</f>
        <v>3.2797979587973636</v>
      </c>
      <c r="K5" s="40">
        <f>'Données SDES (Mtep)'!K5 * 'Données SDES converties (TWh)'!$D$13</f>
        <v>10.217677124183007</v>
      </c>
      <c r="L5" s="40"/>
      <c r="M5" s="40"/>
      <c r="N5" s="40"/>
      <c r="O5" s="40"/>
      <c r="P5" s="40"/>
      <c r="Q5" s="40">
        <f>'Données SDES (Mtep)'!Q5 * 'Données SDES converties (TWh)'!$D$13</f>
        <v>174.56630000000007</v>
      </c>
      <c r="R5" s="40">
        <f>'Données SDES (Mtep)'!R5 * 'Données SDES converties (TWh)'!$D$13</f>
        <v>0</v>
      </c>
      <c r="S5" s="40">
        <f>'Données SDES (Mtep)'!S5 * 'Données SDES converties (TWh)'!$D$13</f>
        <v>1.6282000000000003</v>
      </c>
      <c r="T5" s="40">
        <f>'Données SDES (Mtep)'!T5 * 'Données SDES converties (TWh)'!$D$13</f>
        <v>172.93810000000008</v>
      </c>
      <c r="U5" s="56">
        <f>'Données SDES (Mtep)'!U5 * $D$13</f>
        <v>189.23053462877769</v>
      </c>
      <c r="V5" s="57">
        <f>'Données SDES (Mtep)'!V5 * 'Données SDES converties (TWh)'!$D$13</f>
        <v>12.793000000000001</v>
      </c>
      <c r="W5" s="40">
        <f>'Données SDES (Mtep)'!W5 * 'Données SDES converties (TWh)'!$D$13</f>
        <v>10.309736903994821</v>
      </c>
      <c r="X5" s="57">
        <f>'Données SDES (Mtep)'!X5 * 'Données SDES converties (TWh)'!$D$13</f>
        <v>10.309736903994821</v>
      </c>
      <c r="Y5" s="57">
        <f>'Données SDES (Mtep)'!Y5 * 'Données SDES converties (TWh)'!$D$13</f>
        <v>174.56630000000007</v>
      </c>
      <c r="Z5" s="57">
        <f>'Données SDES (Mtep)'!Z5 * 'Données SDES converties (TWh)'!$D$13</f>
        <v>172.93810000000008</v>
      </c>
      <c r="AA5"/>
    </row>
    <row r="6" spans="1:27" s="49" customFormat="1" x14ac:dyDescent="0.35">
      <c r="A6" s="55" t="s">
        <v>7</v>
      </c>
      <c r="B6" s="56">
        <f>'Données SDES (Mtep)'!B6 * 'Données SDES converties (TWh)'!$D$13</f>
        <v>11.63</v>
      </c>
      <c r="C6" s="40">
        <f>'Données SDES (Mtep)'!C6 * 'Données SDES converties (TWh)'!$D$13</f>
        <v>904.84888999999998</v>
      </c>
      <c r="D6" s="40">
        <f>'Données SDES (Mtep)'!D6 * 'Données SDES converties (TWh)'!$D$13</f>
        <v>0</v>
      </c>
      <c r="E6" s="40">
        <f>'Données SDES (Mtep)'!E6 * 'Données SDES converties (TWh)'!$D$13</f>
        <v>18.142800000000001</v>
      </c>
      <c r="F6" s="40">
        <f>'Données SDES (Mtep)'!F6 * 'Données SDES converties (TWh)'!$D$13</f>
        <v>4.4194000000000004</v>
      </c>
      <c r="G6" s="40">
        <f>'Données SDES (Mtep)'!G6 * 'Données SDES converties (TWh)'!$D$13</f>
        <v>6.8942640000000006</v>
      </c>
      <c r="H6" s="40"/>
      <c r="I6" s="40">
        <f>'Données SDES (Mtep)'!I6 * 'Données SDES converties (TWh)'!$D$13</f>
        <v>5.8237031454080848</v>
      </c>
      <c r="J6" s="40">
        <f>'Données SDES (Mtep)'!J6 * 'Données SDES converties (TWh)'!$D$13</f>
        <v>0.89449035239928076</v>
      </c>
      <c r="K6" s="40">
        <f>'Données SDES (Mtep)'!K6 * 'Données SDES converties (TWh)'!$D$13</f>
        <v>2.7866392156862747</v>
      </c>
      <c r="L6" s="40"/>
      <c r="M6" s="40"/>
      <c r="N6" s="40"/>
      <c r="O6" s="40"/>
      <c r="P6" s="40"/>
      <c r="Q6" s="40">
        <f>'Données SDES (Mtep)'!Q6 * 'Données SDES converties (TWh)'!$D$13</f>
        <v>898.33609000000001</v>
      </c>
      <c r="R6" s="40">
        <f>'Données SDES (Mtep)'!R6 * 'Données SDES converties (TWh)'!$D$13</f>
        <v>88.736900000000006</v>
      </c>
      <c r="S6" s="40">
        <f>'Données SDES (Mtep)'!S6 * 'Données SDES converties (TWh)'!$D$13</f>
        <v>29.423899999999978</v>
      </c>
      <c r="T6" s="40">
        <f>'Données SDES (Mtep)'!T6 * 'Données SDES converties (TWh)'!$D$13</f>
        <v>780.17529000000002</v>
      </c>
      <c r="U6" s="56">
        <f>'Données SDES (Mtep)'!U6 * $D$13</f>
        <v>9.9742267825515274</v>
      </c>
      <c r="V6" s="57">
        <f>'Données SDES (Mtep)'!V6 * 'Données SDES converties (TWh)'!$D$13</f>
        <v>904.84888999999998</v>
      </c>
      <c r="W6" s="40">
        <f>'Données SDES (Mtep)'!W6 * 'Données SDES converties (TWh)'!$D$13</f>
        <v>776.02476636285644</v>
      </c>
      <c r="X6" s="57">
        <f>'Données SDES (Mtep)'!X6 * 'Données SDES converties (TWh)'!$D$13</f>
        <v>776.02476636285644</v>
      </c>
      <c r="Y6" s="57">
        <f>'Données SDES (Mtep)'!Y6 * 'Données SDES converties (TWh)'!$D$13</f>
        <v>809.59919000000002</v>
      </c>
      <c r="Z6" s="57">
        <f>'Données SDES (Mtep)'!Z6 * 'Données SDES converties (TWh)'!$D$13</f>
        <v>780.17529000000002</v>
      </c>
      <c r="AA6" s="257">
        <f>'Données SDES (Mtep)'!AA6 * 'Données SDES converties (TWh)'!$D$13</f>
        <v>235.62380000000005</v>
      </c>
    </row>
    <row r="7" spans="1:27" s="49" customFormat="1" x14ac:dyDescent="0.35">
      <c r="A7" s="55" t="s">
        <v>20</v>
      </c>
      <c r="B7" s="56">
        <f>'Données SDES (Mtep)'!B7 * 'Données SDES converties (TWh)'!$D$13</f>
        <v>0.11630000000000001</v>
      </c>
      <c r="C7" s="40">
        <f>'Données SDES (Mtep)'!C7 * 'Données SDES converties (TWh)'!$D$13</f>
        <v>427.05360000000002</v>
      </c>
      <c r="D7" s="40">
        <f>'Données SDES (Mtep)'!D7 * 'Données SDES converties (TWh)'!$D$13</f>
        <v>0</v>
      </c>
      <c r="E7" s="40">
        <f>'Données SDES (Mtep)'!E7 * 'Données SDES converties (TWh)'!$D$13</f>
        <v>67.454000000000008</v>
      </c>
      <c r="F7" s="40">
        <f>'Données SDES (Mtep)'!F7 * 'Données SDES converties (TWh)'!$D$13</f>
        <v>5.1172000000000004</v>
      </c>
      <c r="G7" s="40">
        <f>'Données SDES (Mtep)'!G7 * 'Données SDES converties (TWh)'!$D$13</f>
        <v>29.679760000000002</v>
      </c>
      <c r="H7" s="40"/>
      <c r="I7" s="40">
        <f>'Données SDES (Mtep)'!I7 * 'Données SDES converties (TWh)'!$D$13</f>
        <v>25.071002744739253</v>
      </c>
      <c r="J7" s="40">
        <f>'Données SDES (Mtep)'!J7 * 'Données SDES converties (TWh)'!$D$13</f>
        <v>3.8507749313815194</v>
      </c>
      <c r="K7" s="40">
        <f>'Données SDES (Mtep)'!K7 * 'Données SDES converties (TWh)'!$D$13</f>
        <v>10.360581699346405</v>
      </c>
      <c r="L7" s="40"/>
      <c r="M7" s="40"/>
      <c r="N7" s="40"/>
      <c r="O7" s="40"/>
      <c r="P7" s="40"/>
      <c r="Q7" s="40">
        <f>'Données SDES (Mtep)'!Q7 * 'Données SDES converties (TWh)'!$D$13</f>
        <v>359.71589999999998</v>
      </c>
      <c r="R7" s="40">
        <f>'Données SDES (Mtep)'!R7 * 'Données SDES converties (TWh)'!$D$13</f>
        <v>0</v>
      </c>
      <c r="S7" s="40">
        <f>'Données SDES (Mtep)'!S7 * 'Données SDES converties (TWh)'!$D$13</f>
        <v>15.467899999999998</v>
      </c>
      <c r="T7" s="40">
        <f>'Données SDES (Mtep)'!T7 * 'Données SDES converties (TWh)'!$D$13</f>
        <v>344.24799999999999</v>
      </c>
      <c r="U7" s="56">
        <f>'Données SDES (Mtep)'!U7 * $D$13</f>
        <v>0.10054968765171231</v>
      </c>
      <c r="V7" s="57">
        <f>'Données SDES (Mtep)'!V7 * 'Données SDES converties (TWh)'!$D$13</f>
        <v>427.05360000000002</v>
      </c>
      <c r="W7" s="40">
        <f>'Données SDES (Mtep)'!W7 * 'Données SDES converties (TWh)'!$D$13</f>
        <v>369.21845305708757</v>
      </c>
      <c r="X7" s="57">
        <f>'Données SDES (Mtep)'!X7 * 'Données SDES converties (TWh)'!$D$13</f>
        <v>369.21845305708757</v>
      </c>
      <c r="Y7" s="57">
        <f>'Données SDES (Mtep)'!Y7 * 'Données SDES converties (TWh)'!$D$13</f>
        <v>359.71589999999998</v>
      </c>
      <c r="Z7" s="57">
        <f>'Données SDES (Mtep)'!Z7 * 'Données SDES converties (TWh)'!$D$13</f>
        <v>344.24799999999999</v>
      </c>
      <c r="AA7" s="257">
        <f>'Données SDES (Mtep)'!AA7 * 'Données SDES converties (TWh)'!$D$13</f>
        <v>53.492433830710951</v>
      </c>
    </row>
    <row r="8" spans="1:27" s="49" customFormat="1" x14ac:dyDescent="0.35">
      <c r="A8" s="55" t="s">
        <v>2</v>
      </c>
      <c r="B8" s="56">
        <f>'Données SDES (Mtep)'!B8 * 'Données SDES converties (TWh)'!$D$13</f>
        <v>0</v>
      </c>
      <c r="C8" s="40">
        <f>'Données SDES (Mtep)'!C8 * 'Données SDES converties (TWh)'!$D$13</f>
        <v>105.7167</v>
      </c>
      <c r="D8" s="40">
        <f>'Données SDES (Mtep)'!D8 * 'Données SDES converties (TWh)'!$D$13</f>
        <v>0</v>
      </c>
      <c r="E8" s="40">
        <f>'Données SDES (Mtep)'!E8 * 'Données SDES converties (TWh)'!$D$13</f>
        <v>33.029200000000003</v>
      </c>
      <c r="F8" s="40">
        <f>'Données SDES (Mtep)'!F8 * 'Données SDES converties (TWh)'!$D$13</f>
        <v>3.7216000000000005</v>
      </c>
      <c r="G8" s="40">
        <f>'Données SDES (Mtep)'!G8 * 'Données SDES converties (TWh)'!$D$13</f>
        <v>10.569343999999999</v>
      </c>
      <c r="H8" s="40"/>
      <c r="I8" s="40">
        <f>'Données SDES (Mtep)'!I8 * 'Données SDES converties (TWh)'!$D$13</f>
        <v>8.9281063065905304</v>
      </c>
      <c r="J8" s="40">
        <f>'Données SDES (Mtep)'!J8 * 'Données SDES converties (TWh)'!$D$13</f>
        <v>1.3713104457835128</v>
      </c>
      <c r="K8" s="40">
        <f>'Données SDES (Mtep)'!K8 * 'Données SDES converties (TWh)'!$D$13</f>
        <v>5.0731124183006537</v>
      </c>
      <c r="L8" s="40"/>
      <c r="M8" s="40"/>
      <c r="N8" s="40"/>
      <c r="O8" s="40"/>
      <c r="P8" s="40"/>
      <c r="Q8" s="40">
        <f>'Données SDES (Mtep)'!Q8 * 'Données SDES converties (TWh)'!$D$13</f>
        <v>72.6875</v>
      </c>
      <c r="R8" s="40">
        <f>'Données SDES (Mtep)'!R8 * 'Données SDES converties (TWh)'!$D$13</f>
        <v>0</v>
      </c>
      <c r="S8" s="40">
        <f>'Données SDES (Mtep)'!S8 * 'Données SDES converties (TWh)'!$D$13</f>
        <v>56.289200000000001</v>
      </c>
      <c r="T8" s="40">
        <f>'Données SDES (Mtep)'!T8 * 'Données SDES converties (TWh)'!$D$13</f>
        <v>16.398300000000003</v>
      </c>
      <c r="U8" s="56">
        <f>'Données SDES (Mtep)'!U8 * $D$13</f>
        <v>0</v>
      </c>
      <c r="V8" s="57">
        <f>'Données SDES (Mtep)'!V8 * 'Données SDES converties (TWh)'!$D$13</f>
        <v>105.7167</v>
      </c>
      <c r="W8" s="40">
        <f>'Données SDES (Mtep)'!W8 * 'Données SDES converties (TWh)'!$D$13</f>
        <v>25.326406306590531</v>
      </c>
      <c r="X8" s="57">
        <f>'Données SDES (Mtep)'!X8 * 'Données SDES converties (TWh)'!$D$13</f>
        <v>25.326406306590531</v>
      </c>
      <c r="Y8" s="57">
        <f>'Données SDES (Mtep)'!Y8 * 'Données SDES converties (TWh)'!$D$13</f>
        <v>72.6875</v>
      </c>
      <c r="Z8" s="57">
        <f>'Données SDES (Mtep)'!Z8 * 'Données SDES converties (TWh)'!$D$13</f>
        <v>16.398300000000003</v>
      </c>
      <c r="AA8"/>
    </row>
    <row r="9" spans="1:27" s="49" customFormat="1" x14ac:dyDescent="0.35">
      <c r="A9" s="55" t="s">
        <v>3</v>
      </c>
      <c r="B9" s="56">
        <f>'Données SDES (Mtep)'!B9 * 'Données SDES converties (TWh)'!$D$13</f>
        <v>0</v>
      </c>
      <c r="C9" s="40">
        <f>'Données SDES (Mtep)'!C9 * 'Données SDES converties (TWh)'!$D$13</f>
        <v>0</v>
      </c>
      <c r="D9" s="40">
        <f>'Données SDES (Mtep)'!D9 * 'Données SDES converties (TWh)'!$D$13</f>
        <v>0</v>
      </c>
      <c r="E9" s="40">
        <f>'Données SDES (Mtep)'!E9 * 'Données SDES converties (TWh)'!$D$13</f>
        <v>0</v>
      </c>
      <c r="F9" s="40">
        <f>'Données SDES (Mtep)'!F9 * 'Données SDES converties (TWh)'!$D$13</f>
        <v>0</v>
      </c>
      <c r="G9" s="40">
        <f>'Données SDES (Mtep)'!G9 * 'Données SDES converties (TWh)'!$D$13</f>
        <v>0</v>
      </c>
      <c r="H9" s="40"/>
      <c r="I9" s="40">
        <f>'Données SDES (Mtep)'!I9 * 'Données SDES converties (TWh)'!$D$13</f>
        <v>0</v>
      </c>
      <c r="J9" s="40">
        <f>'Données SDES (Mtep)'!J9 * 'Données SDES converties (TWh)'!$D$13</f>
        <v>0</v>
      </c>
      <c r="K9" s="40">
        <f>'Données SDES (Mtep)'!K9 * 'Données SDES converties (TWh)'!$D$13</f>
        <v>0</v>
      </c>
      <c r="L9" s="40"/>
      <c r="M9" s="40"/>
      <c r="N9" s="40"/>
      <c r="O9" s="40"/>
      <c r="P9" s="40">
        <f>'Données SDES (Mtep)'!P9 * 'Données SDES converties (TWh)'!$D$13</f>
        <v>52.683900000000008</v>
      </c>
      <c r="Q9" s="40">
        <f>'Données SDES (Mtep)'!Q9 * 'Données SDES converties (TWh)'!$D$13</f>
        <v>0</v>
      </c>
      <c r="R9" s="40">
        <f>'Données SDES (Mtep)'!R9 * 'Données SDES converties (TWh)'!$D$13</f>
        <v>0</v>
      </c>
      <c r="S9" s="40">
        <f>'Données SDES (Mtep)'!S9 * 'Données SDES converties (TWh)'!$D$13</f>
        <v>6.9780000000000006</v>
      </c>
      <c r="T9" s="40">
        <f>'Données SDES (Mtep)'!T9 * 'Données SDES converties (TWh)'!$D$13</f>
        <v>45.705900000000007</v>
      </c>
      <c r="U9" s="56">
        <f>'Données SDES (Mtep)'!U9 * $D$13</f>
        <v>45.705900000000007</v>
      </c>
      <c r="V9" s="57">
        <f>'Données SDES (Mtep)'!V9 * 'Données SDES converties (TWh)'!$D$13</f>
        <v>0</v>
      </c>
      <c r="W9" s="40">
        <f>'Données SDES (Mtep)'!W9 * 'Données SDES converties (TWh)'!$D$13</f>
        <v>0</v>
      </c>
      <c r="X9" s="57">
        <f>'Données SDES (Mtep)'!X9 * 'Données SDES converties (TWh)'!$D$13</f>
        <v>0</v>
      </c>
      <c r="Y9" s="57">
        <f>'Données SDES (Mtep)'!Y9 * 'Données SDES converties (TWh)'!$D$13</f>
        <v>0</v>
      </c>
      <c r="Z9" s="57">
        <f>'Données SDES (Mtep)'!Z9 * 'Données SDES converties (TWh)'!$D$13</f>
        <v>45.705900000000007</v>
      </c>
      <c r="AA9"/>
    </row>
    <row r="10" spans="1:27" s="13" customFormat="1" x14ac:dyDescent="0.35">
      <c r="A10" s="58" t="s">
        <v>5</v>
      </c>
      <c r="B10" s="59">
        <f>'Données SDES (Mtep)'!B10 * 'Données SDES converties (TWh)'!$D$13</f>
        <v>1602.3814000000002</v>
      </c>
      <c r="C10" s="60">
        <f>'Données SDES (Mtep)'!C10 * 'Données SDES converties (TWh)'!$D$13</f>
        <v>1450.41219</v>
      </c>
      <c r="D10" s="60">
        <f>'Données SDES (Mtep)'!D10 * 'Données SDES converties (TWh)'!$D$13</f>
        <v>6.5128000000000013</v>
      </c>
      <c r="E10" s="60">
        <f>'Données SDES (Mtep)'!E10 * 'Données SDES converties (TWh)'!$D$13</f>
        <v>1540.9750000000001</v>
      </c>
      <c r="F10" s="60">
        <f>'Données SDES (Mtep)'!F10 * 'Données SDES converties (TWh)'!$D$13</f>
        <v>0</v>
      </c>
      <c r="G10" s="60">
        <f>'Données SDES (Mtep)'!G10 * 'Données SDES converties (TWh)'!$D$13</f>
        <v>589.81777599999998</v>
      </c>
      <c r="H10" s="60">
        <f>'Données SDES (Mtep)'!H10 * 'Données SDES converties (TWh)'!$D$13</f>
        <v>575.68500000000006</v>
      </c>
      <c r="I10" s="60">
        <f>'Données SDES (Mtep)'!I10 * 'Données SDES converties (TWh)'!$D$13</f>
        <v>498.22920000000005</v>
      </c>
      <c r="J10" s="60">
        <f>'Données SDES (Mtep)'!J10 * 'Données SDES converties (TWh)'!$D$13</f>
        <v>76.525400000000005</v>
      </c>
      <c r="K10" s="60">
        <f>'Données SDES (Mtep)'!K10 * 'Données SDES converties (TWh)'!$D$13</f>
        <v>236.68570261437904</v>
      </c>
      <c r="L10" s="189">
        <f>SUM('Mix électriques EU (TWh)'!E2:K2)</f>
        <v>13.561824999999994</v>
      </c>
      <c r="M10" s="60"/>
      <c r="N10" s="60"/>
      <c r="O10" s="60"/>
      <c r="P10" s="60">
        <f>'Données SDES (Mtep)'!P10 * 'Données SDES converties (TWh)'!$D$13</f>
        <v>52.683900000000008</v>
      </c>
      <c r="Q10" s="60">
        <f>'Données SDES (Mtep)'!Q10 * 'Données SDES converties (TWh)'!$D$13</f>
        <v>1505.3057900000001</v>
      </c>
      <c r="R10" s="60">
        <f>'Données SDES (Mtep)'!R10 * 'Données SDES converties (TWh)'!$D$13</f>
        <v>88.736900000000006</v>
      </c>
      <c r="S10" s="60">
        <f>'Données SDES (Mtep)'!S10 * 'Données SDES converties (TWh)'!$D$13</f>
        <v>109.78719999999998</v>
      </c>
      <c r="T10" s="60">
        <f>'Données SDES (Mtep)'!T10 * 'Données SDES converties (TWh)'!$D$13</f>
        <v>1359.46559</v>
      </c>
      <c r="U10" s="59">
        <f>'Données SDES (Mtep)'!U10 * $D$13</f>
        <v>682.06402070241347</v>
      </c>
      <c r="V10" s="59">
        <f>'Données SDES (Mtep)'!V10 * 'Données SDES converties (TWh)'!$D$13</f>
        <v>1450.41219</v>
      </c>
      <c r="W10" s="60">
        <f>'Données SDES (Mtep)'!W10 * 'Données SDES converties (TWh)'!$D$13</f>
        <v>1180.8793626305294</v>
      </c>
      <c r="X10" s="59">
        <f>'Données SDES (Mtep)'!X10 * 'Données SDES converties (TWh)'!$D$13</f>
        <v>1180.8793626305294</v>
      </c>
      <c r="Y10" s="59">
        <f>'Données SDES (Mtep)'!Y10 * 'Données SDES converties (TWh)'!$D$13</f>
        <v>1416.56889</v>
      </c>
      <c r="Z10" s="59">
        <f>'Données SDES (Mtep)'!Z10 * 'Données SDES converties (TWh)'!$D$13</f>
        <v>1794.7312149999998</v>
      </c>
      <c r="AA10" s="13">
        <f>SUM(AA3:AA9)</f>
        <v>289.116233830711</v>
      </c>
    </row>
    <row r="12" spans="1:27" x14ac:dyDescent="0.35">
      <c r="A12" s="318" t="s">
        <v>17</v>
      </c>
      <c r="B12" s="319"/>
      <c r="C12" s="319"/>
      <c r="D12" s="61">
        <f>'Données TSP (TWh)'!Y10 / ('Données SDES (Mtep)'!Z10 * 11.63)</f>
        <v>0.98144994229399329</v>
      </c>
      <c r="E12">
        <v>1</v>
      </c>
    </row>
    <row r="13" spans="1:27" x14ac:dyDescent="0.35">
      <c r="A13" s="320" t="s">
        <v>62</v>
      </c>
      <c r="B13" s="321"/>
      <c r="C13" s="321"/>
      <c r="D13" s="62">
        <f>E12*11.63</f>
        <v>11.63</v>
      </c>
    </row>
    <row r="14" spans="1:27" ht="15" thickBot="1" x14ac:dyDescent="0.4"/>
    <row r="15" spans="1:27" ht="199.5" customHeight="1" x14ac:dyDescent="0.35">
      <c r="A15" s="322" t="s">
        <v>63</v>
      </c>
      <c r="B15" s="323"/>
      <c r="C15" s="323"/>
      <c r="D15" s="324"/>
      <c r="V15" s="15"/>
      <c r="W15" s="15"/>
      <c r="X15" s="15"/>
      <c r="Y15" s="15"/>
    </row>
    <row r="16" spans="1:27" ht="30.75" customHeight="1" thickBot="1" x14ac:dyDescent="0.4">
      <c r="A16" s="315" t="s">
        <v>61</v>
      </c>
      <c r="B16" s="316"/>
      <c r="C16" s="316"/>
      <c r="D16" s="317"/>
      <c r="V16" s="15"/>
      <c r="W16" s="15"/>
      <c r="X16" s="15"/>
      <c r="Y16" s="15"/>
    </row>
    <row r="17" spans="22:31" x14ac:dyDescent="0.35">
      <c r="V17" s="16"/>
      <c r="W17" s="16"/>
      <c r="X17" s="16"/>
      <c r="Y17" s="16"/>
    </row>
    <row r="18" spans="22:31" x14ac:dyDescent="0.35">
      <c r="V18" s="16"/>
      <c r="W18" s="16"/>
      <c r="X18" s="16"/>
      <c r="Y18" s="16"/>
    </row>
    <row r="19" spans="22:31" x14ac:dyDescent="0.35">
      <c r="V19" s="16"/>
      <c r="W19" s="16"/>
      <c r="X19" s="16"/>
      <c r="Y19" s="16"/>
    </row>
    <row r="20" spans="22:31" x14ac:dyDescent="0.35">
      <c r="V20" s="16"/>
      <c r="W20" s="16"/>
      <c r="X20" s="16"/>
      <c r="Y20" s="16"/>
    </row>
    <row r="21" spans="22:31" x14ac:dyDescent="0.35">
      <c r="V21" s="16"/>
      <c r="W21" s="16"/>
      <c r="X21" s="16"/>
      <c r="Y21" s="16"/>
    </row>
    <row r="22" spans="22:31" x14ac:dyDescent="0.35">
      <c r="V22" s="16"/>
      <c r="W22" s="16"/>
      <c r="X22" s="16"/>
      <c r="Y22" s="16"/>
    </row>
    <row r="23" spans="22:31" x14ac:dyDescent="0.35">
      <c r="V23" s="15"/>
      <c r="W23" s="15"/>
      <c r="X23" s="15"/>
      <c r="Y23" s="15"/>
      <c r="Z23" s="2"/>
      <c r="AA23" s="2"/>
      <c r="AB23" s="2"/>
      <c r="AC23" s="2"/>
      <c r="AD23" s="2"/>
      <c r="AE23" s="2"/>
    </row>
  </sheetData>
  <mergeCells count="9">
    <mergeCell ref="Y1:Z1"/>
    <mergeCell ref="A16:D16"/>
    <mergeCell ref="B1:D1"/>
    <mergeCell ref="E1:N1"/>
    <mergeCell ref="P1:T1"/>
    <mergeCell ref="V1:X1"/>
    <mergeCell ref="A12:C12"/>
    <mergeCell ref="A13:C13"/>
    <mergeCell ref="A15:D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35404-DFAF-4E76-8B20-2DE1A462DFC2}">
  <dimension ref="A1:AK28"/>
  <sheetViews>
    <sheetView zoomScale="79" zoomScaleNormal="160" workbookViewId="0">
      <pane xSplit="1" topLeftCell="B1" activePane="topRight" state="frozen"/>
      <selection activeCell="Z7" sqref="Z7"/>
      <selection pane="topRight" activeCell="AC10" sqref="AC10"/>
    </sheetView>
  </sheetViews>
  <sheetFormatPr baseColWidth="10" defaultRowHeight="14.5" x14ac:dyDescent="0.35"/>
  <cols>
    <col min="2" max="2" width="16.26953125" customWidth="1"/>
    <col min="3" max="3" width="14.81640625" customWidth="1"/>
    <col min="4" max="4" width="17.26953125" customWidth="1"/>
    <col min="5" max="5" width="22" customWidth="1"/>
    <col min="6" max="6" width="17.26953125" customWidth="1"/>
    <col min="7" max="9" width="21.1796875" customWidth="1"/>
    <col min="10" max="11" width="24.26953125" customWidth="1"/>
    <col min="12" max="13" width="25.1796875" customWidth="1"/>
    <col min="14" max="15" width="15.54296875" customWidth="1"/>
    <col min="16" max="16" width="16" customWidth="1"/>
    <col min="17" max="17" width="15.81640625" customWidth="1"/>
    <col min="18" max="18" width="18.453125" customWidth="1"/>
    <col min="19" max="19" width="6.7265625" bestFit="1" customWidth="1"/>
    <col min="20" max="20" width="15.54296875" customWidth="1"/>
    <col min="21" max="23" width="19.7265625" customWidth="1"/>
    <col min="24" max="24" width="14.453125" bestFit="1" customWidth="1"/>
    <col min="25" max="25" width="21.453125" customWidth="1"/>
    <col min="26" max="27" width="23.453125" customWidth="1"/>
    <col min="28" max="29" width="17.81640625" customWidth="1"/>
    <col min="30" max="33" width="26.26953125" customWidth="1"/>
    <col min="34" max="35" width="12" bestFit="1" customWidth="1"/>
  </cols>
  <sheetData>
    <row r="1" spans="1:35" s="26" customFormat="1" x14ac:dyDescent="0.35">
      <c r="A1" s="25" t="s">
        <v>50</v>
      </c>
      <c r="B1" s="307" t="s">
        <v>0</v>
      </c>
      <c r="C1" s="307"/>
      <c r="D1" s="307"/>
      <c r="E1" s="305" t="s">
        <v>6</v>
      </c>
      <c r="F1" s="305"/>
      <c r="G1" s="305"/>
      <c r="H1" s="305"/>
      <c r="I1" s="305"/>
      <c r="J1" s="305"/>
      <c r="K1" s="305"/>
      <c r="L1" s="305"/>
      <c r="M1" s="305"/>
      <c r="N1" s="305"/>
      <c r="O1" s="29"/>
      <c r="P1" s="310" t="s">
        <v>30</v>
      </c>
      <c r="Q1" s="310"/>
      <c r="R1" s="310"/>
      <c r="S1" s="310"/>
      <c r="T1" s="310"/>
      <c r="U1" s="292" t="s">
        <v>22</v>
      </c>
      <c r="V1" s="292"/>
      <c r="W1" s="292"/>
      <c r="X1" s="312" t="s">
        <v>155</v>
      </c>
      <c r="Y1" s="312"/>
      <c r="Z1" s="292" t="s">
        <v>60</v>
      </c>
      <c r="AA1" s="292"/>
      <c r="AB1" s="292"/>
      <c r="AC1" s="292"/>
      <c r="AD1" s="295" t="s">
        <v>16</v>
      </c>
      <c r="AE1" s="295"/>
      <c r="AF1" s="295"/>
      <c r="AG1" s="295"/>
      <c r="AH1" s="312" t="s">
        <v>160</v>
      </c>
      <c r="AI1" s="312"/>
    </row>
    <row r="2" spans="1:35" s="21" customFormat="1" ht="43.5" x14ac:dyDescent="0.35">
      <c r="A2" s="20"/>
      <c r="B2" s="24" t="s">
        <v>43</v>
      </c>
      <c r="C2" s="21" t="s">
        <v>39</v>
      </c>
      <c r="D2" s="21" t="s">
        <v>29</v>
      </c>
      <c r="E2" s="21" t="s">
        <v>25</v>
      </c>
      <c r="F2" s="30" t="s">
        <v>36</v>
      </c>
      <c r="G2" s="30" t="s">
        <v>33</v>
      </c>
      <c r="H2" s="21" t="s">
        <v>27</v>
      </c>
      <c r="I2" s="30" t="s">
        <v>28</v>
      </c>
      <c r="J2" s="30" t="s">
        <v>44</v>
      </c>
      <c r="K2" s="21" t="s">
        <v>45</v>
      </c>
      <c r="L2" s="21" t="s">
        <v>24</v>
      </c>
      <c r="M2" s="23" t="s">
        <v>40</v>
      </c>
      <c r="N2" s="22" t="s">
        <v>35</v>
      </c>
      <c r="O2" s="35" t="s">
        <v>46</v>
      </c>
      <c r="P2" s="21" t="s">
        <v>31</v>
      </c>
      <c r="Q2" s="21" t="s">
        <v>47</v>
      </c>
      <c r="R2" s="21" t="s">
        <v>32</v>
      </c>
      <c r="S2" s="21" t="s">
        <v>26</v>
      </c>
      <c r="T2" s="22" t="s">
        <v>34</v>
      </c>
      <c r="U2" s="36" t="s">
        <v>37</v>
      </c>
      <c r="V2" s="27" t="s">
        <v>41</v>
      </c>
      <c r="W2" s="24" t="s">
        <v>42</v>
      </c>
      <c r="X2" s="36" t="s">
        <v>48</v>
      </c>
      <c r="Y2" s="24" t="s">
        <v>38</v>
      </c>
      <c r="Z2" s="21" t="s">
        <v>55</v>
      </c>
      <c r="AA2" s="21" t="s">
        <v>54</v>
      </c>
      <c r="AB2" s="24" t="s">
        <v>72</v>
      </c>
      <c r="AC2" s="24" t="s">
        <v>73</v>
      </c>
      <c r="AD2" s="21" t="s">
        <v>66</v>
      </c>
      <c r="AE2" s="21" t="s">
        <v>67</v>
      </c>
      <c r="AF2" s="21" t="s">
        <v>57</v>
      </c>
      <c r="AG2" s="21" t="s">
        <v>56</v>
      </c>
      <c r="AH2" s="21" t="s">
        <v>52</v>
      </c>
      <c r="AI2" s="21" t="s">
        <v>53</v>
      </c>
    </row>
    <row r="3" spans="1:35" x14ac:dyDescent="0.35">
      <c r="A3" t="s">
        <v>4</v>
      </c>
      <c r="B3" s="42">
        <v>1251.3388242424244</v>
      </c>
      <c r="F3" s="31"/>
      <c r="G3" s="31"/>
      <c r="I3" s="31"/>
      <c r="J3" s="31"/>
      <c r="K3" s="31"/>
      <c r="L3" s="31"/>
      <c r="M3" s="31"/>
      <c r="N3" s="34"/>
      <c r="O3" s="34"/>
      <c r="T3" s="6"/>
      <c r="U3" s="37"/>
      <c r="V3" s="10"/>
      <c r="W3" s="37"/>
      <c r="X3" s="37"/>
      <c r="Y3" s="18"/>
      <c r="Z3" s="5">
        <v>473.75366354091585</v>
      </c>
      <c r="AA3" s="5"/>
      <c r="AB3" s="18"/>
      <c r="AC3" s="18"/>
      <c r="AD3" s="5">
        <v>72.187049497454936</v>
      </c>
      <c r="AH3" s="44">
        <v>849.61775280338873</v>
      </c>
    </row>
    <row r="4" spans="1:35" x14ac:dyDescent="0.35">
      <c r="A4" t="s">
        <v>1</v>
      </c>
      <c r="B4" s="42">
        <v>112.22326293844263</v>
      </c>
      <c r="F4" s="31"/>
      <c r="G4" s="31"/>
      <c r="I4" s="31"/>
      <c r="J4" s="31"/>
      <c r="K4" s="31"/>
      <c r="L4" s="31"/>
      <c r="M4" s="31"/>
      <c r="N4" s="34"/>
      <c r="O4" s="34"/>
      <c r="T4" s="6"/>
      <c r="U4" s="37"/>
      <c r="V4" s="10"/>
      <c r="W4" s="37"/>
      <c r="X4" s="37"/>
      <c r="Y4" s="18"/>
      <c r="Z4" s="5">
        <v>35.246621026588542</v>
      </c>
      <c r="AA4" s="5"/>
      <c r="AB4" s="18"/>
      <c r="AC4" s="18"/>
      <c r="AD4" s="5">
        <v>52.784759720452165</v>
      </c>
      <c r="AH4" s="44">
        <v>129.75251699610942</v>
      </c>
    </row>
    <row r="5" spans="1:35" x14ac:dyDescent="0.35">
      <c r="A5" t="s">
        <v>19</v>
      </c>
      <c r="B5" s="42">
        <f>118.910702462658+0.204756711096003</f>
        <v>119.11545917375399</v>
      </c>
      <c r="F5" s="31"/>
      <c r="G5" s="31"/>
      <c r="I5" s="31"/>
      <c r="J5" s="31"/>
      <c r="K5" s="31"/>
      <c r="L5" s="31"/>
      <c r="M5" s="31"/>
      <c r="N5" s="34"/>
      <c r="O5" s="34"/>
      <c r="T5" s="6"/>
      <c r="U5" s="37"/>
      <c r="V5" s="10"/>
      <c r="W5" s="37"/>
      <c r="X5" s="37"/>
      <c r="Y5" s="18"/>
      <c r="Z5" s="5">
        <v>67.137377499090746</v>
      </c>
      <c r="AA5" s="5"/>
      <c r="AB5" s="18"/>
      <c r="AC5" s="18"/>
      <c r="AD5" s="5">
        <v>114.61831889213583</v>
      </c>
      <c r="AH5" s="44">
        <v>166.3747204980331</v>
      </c>
    </row>
    <row r="6" spans="1:35" x14ac:dyDescent="0.35">
      <c r="A6" t="s">
        <v>51</v>
      </c>
      <c r="B6" s="42">
        <v>9.2841225650676407</v>
      </c>
      <c r="F6" s="31"/>
      <c r="G6" s="31"/>
      <c r="I6" s="31"/>
      <c r="J6" s="31"/>
      <c r="K6" s="31"/>
      <c r="L6" s="31"/>
      <c r="M6" s="31"/>
      <c r="N6" s="34"/>
      <c r="O6" s="34"/>
      <c r="T6" s="6"/>
      <c r="U6" s="37"/>
      <c r="V6" s="10"/>
      <c r="W6" s="37"/>
      <c r="X6" s="37"/>
      <c r="Y6" s="18"/>
      <c r="Z6" s="5">
        <v>4.9175185970546522</v>
      </c>
      <c r="AA6" s="5"/>
      <c r="AB6" s="18"/>
      <c r="AC6" s="18"/>
      <c r="AD6" s="5">
        <v>1963.6567534252267</v>
      </c>
      <c r="AH6" s="44">
        <v>1968.022117831476</v>
      </c>
    </row>
    <row r="7" spans="1:35" x14ac:dyDescent="0.35">
      <c r="B7" s="42"/>
      <c r="F7" s="31"/>
      <c r="G7" s="31"/>
      <c r="I7" s="31"/>
      <c r="J7" s="31"/>
      <c r="K7" s="31"/>
      <c r="L7" s="31"/>
      <c r="M7" s="31"/>
      <c r="N7" s="34"/>
      <c r="O7" s="34"/>
      <c r="T7" s="6"/>
      <c r="U7" s="37"/>
      <c r="V7" s="10"/>
      <c r="W7" s="37"/>
      <c r="X7" s="37"/>
      <c r="Y7" s="18"/>
      <c r="Z7" s="5"/>
      <c r="AA7" s="5"/>
      <c r="AB7" s="18"/>
      <c r="AC7" s="18"/>
      <c r="AD7" s="5"/>
      <c r="AH7" s="5"/>
    </row>
    <row r="8" spans="1:35" x14ac:dyDescent="0.35">
      <c r="A8" t="s">
        <v>2</v>
      </c>
      <c r="B8" s="42">
        <v>0</v>
      </c>
      <c r="F8" s="31"/>
      <c r="G8" s="31"/>
      <c r="I8" s="31"/>
      <c r="J8" s="31"/>
      <c r="K8" s="31"/>
      <c r="L8" s="31"/>
      <c r="M8" s="31"/>
      <c r="N8" s="34"/>
      <c r="O8" s="34"/>
      <c r="T8" s="6"/>
      <c r="U8" s="37"/>
      <c r="V8" s="10"/>
      <c r="W8" s="37"/>
      <c r="X8" s="37"/>
      <c r="Y8" s="18"/>
      <c r="Z8" s="5">
        <v>0</v>
      </c>
      <c r="AA8" s="5"/>
      <c r="AB8" s="18"/>
      <c r="AC8" s="18"/>
      <c r="AD8" s="5">
        <v>391.61964311763666</v>
      </c>
      <c r="AH8" s="44">
        <v>391.61964311763666</v>
      </c>
    </row>
    <row r="9" spans="1:35" x14ac:dyDescent="0.35">
      <c r="A9" t="s">
        <v>3</v>
      </c>
      <c r="B9" s="42"/>
      <c r="F9" s="31"/>
      <c r="G9" s="31"/>
      <c r="I9" s="31"/>
      <c r="J9" s="31"/>
      <c r="M9" s="31"/>
      <c r="N9" s="6"/>
      <c r="O9" s="34"/>
      <c r="T9" s="6"/>
      <c r="U9" s="37"/>
      <c r="V9" s="10"/>
      <c r="W9" s="37"/>
      <c r="X9" s="37"/>
      <c r="Y9" s="18"/>
      <c r="Z9" s="5">
        <v>2.6966763250825716E-2</v>
      </c>
      <c r="AA9" s="5"/>
      <c r="AB9" s="18"/>
      <c r="AC9" s="18"/>
      <c r="AD9" s="5">
        <v>1.2067239972228656</v>
      </c>
      <c r="AH9" s="44">
        <v>1.3845071475403961</v>
      </c>
    </row>
    <row r="10" spans="1:35" s="13" customFormat="1" x14ac:dyDescent="0.35">
      <c r="A10" s="12" t="s">
        <v>5</v>
      </c>
      <c r="B10" s="43">
        <f>SUM(B3:B9)</f>
        <v>1491.9616689196887</v>
      </c>
      <c r="F10" s="32"/>
      <c r="G10" s="32"/>
      <c r="I10" s="33"/>
      <c r="J10" s="33"/>
      <c r="K10" s="32"/>
      <c r="M10" s="32"/>
      <c r="O10" s="32"/>
      <c r="U10" s="38"/>
      <c r="V10" s="28"/>
      <c r="W10" s="38"/>
      <c r="X10" s="38"/>
      <c r="Y10" s="46">
        <v>1761.4388473949782</v>
      </c>
      <c r="Z10" s="45">
        <f>SUM(Z3:Z9)</f>
        <v>581.08214742690052</v>
      </c>
      <c r="AA10" s="45"/>
      <c r="AB10" s="19"/>
      <c r="AC10" s="46">
        <v>512.39412140619334</v>
      </c>
      <c r="AD10" s="45">
        <f>SUM(AD3:AD9)</f>
        <v>2596.0732486501292</v>
      </c>
      <c r="AG10" s="47">
        <v>823.5304369926896</v>
      </c>
      <c r="AH10" s="45">
        <f>SUM(AH3:AH9)</f>
        <v>3506.7712583941843</v>
      </c>
      <c r="AI10" s="47">
        <v>2072.7827507761785</v>
      </c>
    </row>
    <row r="11" spans="1:35" ht="15" thickBot="1" x14ac:dyDescent="0.4">
      <c r="AD11">
        <f>(AD3+AD4+AD5+AD9)/AD10</f>
        <v>9.2754259623634303E-2</v>
      </c>
      <c r="AI11" s="48"/>
    </row>
    <row r="12" spans="1:35" ht="174.5" thickBot="1" x14ac:dyDescent="0.4">
      <c r="B12" s="212" t="s">
        <v>127</v>
      </c>
      <c r="C12" s="213" t="s">
        <v>126</v>
      </c>
    </row>
    <row r="13" spans="1:35" x14ac:dyDescent="0.35">
      <c r="B13" s="41"/>
      <c r="I13" s="16"/>
      <c r="J13" s="16"/>
      <c r="K13" s="16"/>
      <c r="L13" s="16"/>
      <c r="M13" s="16"/>
      <c r="N13" s="16"/>
      <c r="O13" s="16"/>
      <c r="P13" s="16"/>
      <c r="Q13" s="16"/>
      <c r="R13" s="16"/>
      <c r="S13" s="16"/>
      <c r="T13" s="16"/>
      <c r="U13" s="16"/>
      <c r="V13" s="16"/>
      <c r="W13" s="16"/>
      <c r="X13" s="16"/>
      <c r="Y13" s="16"/>
      <c r="AD13" s="16"/>
    </row>
    <row r="14" spans="1:35" x14ac:dyDescent="0.35">
      <c r="I14" s="16"/>
      <c r="J14" s="16"/>
      <c r="K14" s="16"/>
      <c r="L14" s="16"/>
      <c r="M14" s="16"/>
      <c r="N14" s="16"/>
      <c r="O14" s="16"/>
      <c r="P14" s="16"/>
      <c r="Q14" s="16"/>
      <c r="R14" s="16"/>
      <c r="S14" s="16"/>
      <c r="T14" s="16"/>
      <c r="U14" s="16"/>
      <c r="V14" s="16"/>
      <c r="W14" s="16"/>
      <c r="X14" s="16"/>
      <c r="Y14" s="16"/>
      <c r="AD14" s="16"/>
    </row>
    <row r="15" spans="1:35" x14ac:dyDescent="0.35">
      <c r="I15" s="16"/>
      <c r="J15" s="16"/>
      <c r="K15" s="16"/>
      <c r="L15" s="15"/>
      <c r="M15" s="15"/>
      <c r="N15" s="15"/>
      <c r="O15" s="15"/>
      <c r="P15" s="15"/>
      <c r="Q15" s="15"/>
      <c r="R15" s="15"/>
      <c r="S15" s="15"/>
      <c r="T15" s="15"/>
      <c r="U15" s="15"/>
      <c r="V15" s="15"/>
      <c r="W15" s="15"/>
      <c r="X15" s="15"/>
      <c r="Y15" s="16"/>
      <c r="AD15" s="16"/>
    </row>
    <row r="16" spans="1:35" x14ac:dyDescent="0.35">
      <c r="I16" s="16"/>
      <c r="J16" s="15"/>
      <c r="K16" s="15"/>
      <c r="L16" s="15"/>
      <c r="M16" s="15"/>
      <c r="N16" s="15"/>
      <c r="O16" s="15"/>
      <c r="P16" s="15"/>
      <c r="Q16" s="15"/>
      <c r="R16" s="15"/>
      <c r="S16" s="15"/>
      <c r="T16" s="15"/>
      <c r="U16" s="15"/>
      <c r="V16" s="15"/>
      <c r="W16" s="15"/>
      <c r="X16" s="15"/>
      <c r="Y16" s="16"/>
      <c r="AD16" s="16"/>
    </row>
    <row r="17" spans="9:37" x14ac:dyDescent="0.35">
      <c r="I17" s="16"/>
      <c r="J17" s="16"/>
      <c r="K17" s="16"/>
      <c r="L17" s="15"/>
      <c r="M17" s="15"/>
      <c r="N17" s="16"/>
      <c r="O17" s="16"/>
      <c r="P17" s="16"/>
      <c r="Q17" s="16"/>
      <c r="R17" s="16"/>
      <c r="S17" s="16"/>
      <c r="T17" s="16"/>
      <c r="U17" s="16"/>
      <c r="V17" s="16"/>
      <c r="W17" s="16"/>
      <c r="X17" s="16"/>
      <c r="Y17" s="16"/>
      <c r="AD17" s="16"/>
    </row>
    <row r="18" spans="9:37" x14ac:dyDescent="0.35">
      <c r="I18" s="16"/>
      <c r="J18" s="16"/>
      <c r="K18" s="16"/>
      <c r="L18" s="15"/>
      <c r="M18" s="15"/>
      <c r="N18" s="16"/>
      <c r="O18" s="16"/>
      <c r="P18" s="16"/>
      <c r="Q18" s="16"/>
      <c r="R18" s="16"/>
      <c r="S18" s="16"/>
      <c r="T18" s="16"/>
      <c r="U18" s="16"/>
      <c r="V18" s="16"/>
      <c r="W18" s="16"/>
      <c r="X18" s="16"/>
      <c r="Y18" s="16"/>
      <c r="AD18" s="16"/>
    </row>
    <row r="19" spans="9:37" x14ac:dyDescent="0.35">
      <c r="I19" s="16"/>
      <c r="J19" s="16"/>
      <c r="K19" s="16"/>
      <c r="L19" s="15"/>
      <c r="M19" s="15"/>
      <c r="N19" s="16"/>
      <c r="O19" s="16"/>
      <c r="P19" s="16"/>
      <c r="Q19" s="16"/>
      <c r="R19" s="16"/>
      <c r="S19" s="16"/>
      <c r="T19" s="16"/>
      <c r="U19" s="16"/>
      <c r="V19" s="16"/>
      <c r="W19" s="16"/>
      <c r="X19" s="16"/>
      <c r="Y19" s="16"/>
      <c r="AD19" s="16"/>
    </row>
    <row r="20" spans="9:37" x14ac:dyDescent="0.35">
      <c r="I20" s="16"/>
      <c r="J20" s="16"/>
      <c r="K20" s="16"/>
      <c r="L20" s="15"/>
      <c r="M20" s="15"/>
      <c r="N20" s="16"/>
      <c r="O20" s="16"/>
      <c r="P20" s="16"/>
      <c r="Q20" s="16"/>
      <c r="R20" s="16"/>
      <c r="S20" s="16"/>
      <c r="T20" s="16"/>
      <c r="U20" s="16"/>
      <c r="V20" s="16"/>
      <c r="W20" s="16"/>
      <c r="X20" s="16"/>
      <c r="Y20" s="16"/>
      <c r="AD20" s="16"/>
    </row>
    <row r="21" spans="9:37" x14ac:dyDescent="0.35">
      <c r="I21" s="16"/>
      <c r="J21" s="16"/>
      <c r="K21" s="16"/>
      <c r="L21" s="15"/>
      <c r="M21" s="15"/>
      <c r="N21" s="16"/>
      <c r="O21" s="16"/>
      <c r="P21" s="16"/>
      <c r="Q21" s="16"/>
      <c r="R21" s="16"/>
      <c r="S21" s="16"/>
      <c r="T21" s="16"/>
      <c r="U21" s="16"/>
      <c r="V21" s="16"/>
      <c r="W21" s="16"/>
      <c r="X21" s="16"/>
      <c r="Y21" s="16"/>
      <c r="AD21" s="16"/>
    </row>
    <row r="22" spans="9:37" x14ac:dyDescent="0.35">
      <c r="I22" s="16"/>
      <c r="J22" s="16"/>
      <c r="K22" s="16"/>
      <c r="L22" s="15"/>
      <c r="M22" s="15"/>
      <c r="N22" s="16"/>
      <c r="O22" s="16"/>
      <c r="P22" s="16"/>
      <c r="Q22" s="16"/>
      <c r="R22" s="16"/>
      <c r="S22" s="16"/>
      <c r="T22" s="16"/>
      <c r="U22" s="16"/>
      <c r="V22" s="16"/>
      <c r="W22" s="16"/>
      <c r="X22" s="16"/>
      <c r="Y22" s="16"/>
      <c r="AD22" s="16"/>
    </row>
    <row r="23" spans="9:37" x14ac:dyDescent="0.35">
      <c r="I23" s="16"/>
      <c r="J23" s="15"/>
      <c r="K23" s="15"/>
      <c r="L23" s="15"/>
      <c r="M23" s="15"/>
      <c r="N23" s="15"/>
      <c r="O23" s="15"/>
      <c r="P23" s="15"/>
      <c r="Q23" s="15"/>
      <c r="R23" s="15"/>
      <c r="S23" s="15"/>
      <c r="T23" s="15"/>
      <c r="U23" s="15"/>
      <c r="V23" s="15"/>
      <c r="W23" s="15"/>
      <c r="X23" s="15"/>
      <c r="Y23" s="16"/>
      <c r="Z23" s="2"/>
      <c r="AA23" s="2"/>
      <c r="AB23" s="2"/>
      <c r="AC23" s="2"/>
      <c r="AD23" s="16"/>
      <c r="AE23" s="2"/>
      <c r="AF23" s="2"/>
      <c r="AG23" s="2"/>
      <c r="AH23" s="2"/>
      <c r="AI23" s="2"/>
      <c r="AJ23" s="2"/>
      <c r="AK23" s="2"/>
    </row>
    <row r="24" spans="9:37" x14ac:dyDescent="0.35">
      <c r="I24" s="16"/>
      <c r="J24" s="16"/>
      <c r="K24" s="16"/>
      <c r="L24" s="16"/>
      <c r="M24" s="16"/>
      <c r="N24" s="16"/>
      <c r="O24" s="16"/>
      <c r="P24" s="16"/>
      <c r="Q24" s="16"/>
      <c r="R24" s="16"/>
      <c r="S24" s="16"/>
      <c r="T24" s="16"/>
      <c r="U24" s="16"/>
      <c r="V24" s="16"/>
      <c r="W24" s="16"/>
      <c r="X24" s="16"/>
      <c r="Y24" s="16"/>
      <c r="AD24" s="16"/>
    </row>
    <row r="25" spans="9:37" x14ac:dyDescent="0.35">
      <c r="I25" s="16"/>
      <c r="J25" s="16"/>
      <c r="K25" s="16"/>
      <c r="L25" s="16"/>
      <c r="M25" s="16"/>
      <c r="N25" s="16"/>
      <c r="O25" s="16"/>
      <c r="P25" s="16"/>
      <c r="Q25" s="16"/>
      <c r="R25" s="16"/>
      <c r="S25" s="16"/>
      <c r="T25" s="16"/>
      <c r="U25" s="16"/>
      <c r="V25" s="16"/>
      <c r="W25" s="16"/>
      <c r="X25" s="16"/>
      <c r="Y25" s="16"/>
      <c r="AD25" s="16"/>
    </row>
    <row r="26" spans="9:37" x14ac:dyDescent="0.35">
      <c r="I26" s="16"/>
      <c r="J26" s="16"/>
      <c r="K26" s="16"/>
      <c r="L26" s="16"/>
      <c r="M26" s="16"/>
      <c r="N26" s="16"/>
      <c r="O26" s="16"/>
      <c r="P26" s="16"/>
      <c r="Q26" s="16"/>
      <c r="R26" s="16"/>
      <c r="S26" s="16"/>
      <c r="T26" s="16"/>
      <c r="U26" s="16"/>
      <c r="V26" s="16"/>
      <c r="W26" s="16"/>
      <c r="X26" s="16"/>
      <c r="Y26" s="16"/>
      <c r="AD26" s="16"/>
    </row>
    <row r="27" spans="9:37" x14ac:dyDescent="0.35">
      <c r="I27" s="16"/>
      <c r="J27" s="16"/>
      <c r="K27" s="16"/>
      <c r="L27" s="16"/>
      <c r="M27" s="16"/>
      <c r="N27" s="16"/>
      <c r="O27" s="16"/>
      <c r="P27" s="16"/>
      <c r="Q27" s="16"/>
      <c r="R27" s="16"/>
      <c r="S27" s="16"/>
      <c r="T27" s="16"/>
      <c r="U27" s="16"/>
      <c r="V27" s="16"/>
      <c r="W27" s="16"/>
      <c r="X27" s="16"/>
      <c r="Y27" s="16"/>
      <c r="AD27" s="16"/>
    </row>
    <row r="28" spans="9:37" x14ac:dyDescent="0.35">
      <c r="I28" s="16"/>
      <c r="J28" s="16"/>
      <c r="K28" s="16"/>
      <c r="L28" s="16"/>
      <c r="M28" s="16"/>
      <c r="N28" s="16"/>
      <c r="O28" s="16"/>
      <c r="P28" s="16"/>
      <c r="Q28" s="16"/>
      <c r="R28" s="16"/>
      <c r="S28" s="16"/>
      <c r="T28" s="16"/>
      <c r="U28" s="16"/>
      <c r="V28" s="16"/>
      <c r="W28" s="16"/>
      <c r="X28" s="16"/>
      <c r="Y28" s="16"/>
      <c r="AD28" s="16"/>
    </row>
  </sheetData>
  <mergeCells count="8">
    <mergeCell ref="AH1:AI1"/>
    <mergeCell ref="Z1:AC1"/>
    <mergeCell ref="B1:D1"/>
    <mergeCell ref="E1:N1"/>
    <mergeCell ref="P1:T1"/>
    <mergeCell ref="U1:W1"/>
    <mergeCell ref="AD1:AG1"/>
    <mergeCell ref="X1:Y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422A2-2523-4D4D-B2B6-088AE8C855FE}">
  <dimension ref="A1:AK29"/>
  <sheetViews>
    <sheetView zoomScale="85" zoomScaleNormal="85" workbookViewId="0">
      <pane xSplit="1" topLeftCell="V1" activePane="topRight" state="frozen"/>
      <selection activeCell="Z7" sqref="Z7"/>
      <selection pane="topRight" activeCell="AD17" sqref="AD17"/>
    </sheetView>
  </sheetViews>
  <sheetFormatPr baseColWidth="10" defaultRowHeight="14.5" x14ac:dyDescent="0.35"/>
  <cols>
    <col min="2" max="2" width="20.453125" customWidth="1"/>
    <col min="3" max="3" width="30" customWidth="1"/>
    <col min="4" max="4" width="22" customWidth="1"/>
    <col min="5" max="5" width="23.26953125" customWidth="1"/>
    <col min="6" max="6" width="18.7265625" customWidth="1"/>
    <col min="7" max="9" width="21.1796875" customWidth="1"/>
    <col min="10" max="11" width="24.26953125" customWidth="1"/>
    <col min="12" max="13" width="25.1796875" customWidth="1"/>
    <col min="14" max="15" width="15.54296875" customWidth="1"/>
    <col min="16" max="16" width="16" customWidth="1"/>
    <col min="17" max="17" width="15.81640625" customWidth="1"/>
    <col min="18" max="18" width="18.453125" customWidth="1"/>
    <col min="19" max="19" width="6.7265625" bestFit="1" customWidth="1"/>
    <col min="20" max="20" width="15.54296875" customWidth="1"/>
    <col min="21" max="23" width="19.7265625" customWidth="1"/>
    <col min="24" max="24" width="14.453125" bestFit="1" customWidth="1"/>
    <col min="25" max="25" width="21.453125" customWidth="1"/>
    <col min="26" max="27" width="23.453125" customWidth="1"/>
    <col min="28" max="29" width="17.81640625" customWidth="1"/>
    <col min="30" max="33" width="26.26953125" customWidth="1"/>
    <col min="34" max="34" width="13.7265625" customWidth="1"/>
    <col min="35" max="35" width="12" bestFit="1" customWidth="1"/>
  </cols>
  <sheetData>
    <row r="1" spans="1:35" s="26" customFormat="1" x14ac:dyDescent="0.35">
      <c r="A1" s="25" t="s">
        <v>50</v>
      </c>
      <c r="B1" s="307" t="s">
        <v>0</v>
      </c>
      <c r="C1" s="307"/>
      <c r="D1" s="307"/>
      <c r="E1" s="305" t="s">
        <v>6</v>
      </c>
      <c r="F1" s="305"/>
      <c r="G1" s="305"/>
      <c r="H1" s="305"/>
      <c r="I1" s="305"/>
      <c r="J1" s="305"/>
      <c r="K1" s="305"/>
      <c r="L1" s="305"/>
      <c r="M1" s="305"/>
      <c r="N1" s="305"/>
      <c r="O1" s="29"/>
      <c r="P1" s="310" t="s">
        <v>30</v>
      </c>
      <c r="Q1" s="310"/>
      <c r="R1" s="310"/>
      <c r="S1" s="310"/>
      <c r="T1" s="310"/>
      <c r="U1" s="292" t="s">
        <v>22</v>
      </c>
      <c r="V1" s="292"/>
      <c r="W1" s="292"/>
      <c r="X1" s="312" t="s">
        <v>155</v>
      </c>
      <c r="Y1" s="312"/>
      <c r="Z1" s="292" t="s">
        <v>60</v>
      </c>
      <c r="AA1" s="292"/>
      <c r="AB1" s="292"/>
      <c r="AC1" s="292"/>
      <c r="AD1" s="295" t="s">
        <v>16</v>
      </c>
      <c r="AE1" s="295"/>
      <c r="AF1" s="295"/>
      <c r="AG1" s="295"/>
      <c r="AH1" s="312" t="s">
        <v>160</v>
      </c>
      <c r="AI1" s="312"/>
    </row>
    <row r="2" spans="1:35" s="21" customFormat="1" ht="43.5" x14ac:dyDescent="0.35">
      <c r="A2" s="20"/>
      <c r="B2" s="24" t="s">
        <v>43</v>
      </c>
      <c r="C2" s="21" t="s">
        <v>39</v>
      </c>
      <c r="D2" s="21" t="s">
        <v>29</v>
      </c>
      <c r="E2" s="21" t="s">
        <v>25</v>
      </c>
      <c r="F2" s="30" t="s">
        <v>36</v>
      </c>
      <c r="G2" s="30" t="s">
        <v>33</v>
      </c>
      <c r="H2" s="21" t="s">
        <v>27</v>
      </c>
      <c r="I2" s="30" t="s">
        <v>28</v>
      </c>
      <c r="J2" s="30" t="s">
        <v>44</v>
      </c>
      <c r="K2" s="21" t="s">
        <v>45</v>
      </c>
      <c r="L2" s="21" t="s">
        <v>24</v>
      </c>
      <c r="M2" s="23" t="s">
        <v>40</v>
      </c>
      <c r="N2" s="22" t="s">
        <v>35</v>
      </c>
      <c r="O2" s="35" t="s">
        <v>46</v>
      </c>
      <c r="P2" s="21" t="s">
        <v>31</v>
      </c>
      <c r="Q2" s="21" t="s">
        <v>47</v>
      </c>
      <c r="R2" s="21" t="s">
        <v>32</v>
      </c>
      <c r="S2" s="21" t="s">
        <v>26</v>
      </c>
      <c r="T2" s="22" t="s">
        <v>34</v>
      </c>
      <c r="U2" s="51" t="s">
        <v>37</v>
      </c>
      <c r="V2" s="65" t="s">
        <v>41</v>
      </c>
      <c r="W2" s="51" t="s">
        <v>42</v>
      </c>
      <c r="X2" s="51" t="s">
        <v>48</v>
      </c>
      <c r="Y2" s="51" t="s">
        <v>38</v>
      </c>
      <c r="Z2" s="70" t="s">
        <v>55</v>
      </c>
      <c r="AA2" s="70" t="s">
        <v>54</v>
      </c>
      <c r="AB2" s="68" t="s">
        <v>58</v>
      </c>
      <c r="AC2" s="68" t="s">
        <v>59</v>
      </c>
      <c r="AD2" s="69" t="s">
        <v>66</v>
      </c>
      <c r="AE2" s="21" t="s">
        <v>67</v>
      </c>
      <c r="AF2" s="21" t="s">
        <v>57</v>
      </c>
      <c r="AG2" s="21" t="s">
        <v>56</v>
      </c>
      <c r="AH2" s="68" t="s">
        <v>52</v>
      </c>
      <c r="AI2" s="68" t="s">
        <v>53</v>
      </c>
    </row>
    <row r="3" spans="1:35" x14ac:dyDescent="0.35">
      <c r="A3" t="s">
        <v>4</v>
      </c>
      <c r="B3" s="42">
        <f>'Données TSP (TWh)'!B3 *E14</f>
        <v>1251.3388242424244</v>
      </c>
      <c r="C3" s="40"/>
      <c r="D3" s="40"/>
      <c r="E3" s="40"/>
      <c r="F3" s="40"/>
      <c r="G3" s="40"/>
      <c r="H3" s="40"/>
      <c r="I3" s="40"/>
      <c r="J3" s="40"/>
      <c r="K3" s="40"/>
      <c r="L3" s="40"/>
      <c r="M3" s="40"/>
      <c r="N3" s="40"/>
      <c r="O3" s="40"/>
      <c r="P3" s="40"/>
      <c r="Q3" s="40"/>
      <c r="R3" s="40"/>
      <c r="S3" s="40"/>
      <c r="T3" s="40"/>
      <c r="U3" s="56"/>
      <c r="V3" s="40"/>
      <c r="W3" s="56"/>
      <c r="X3" s="56"/>
      <c r="Y3" s="56"/>
      <c r="Z3" s="3">
        <f>'Données TSP (TWh)'!Z3 *E14</f>
        <v>473.75366354091585</v>
      </c>
      <c r="AA3" s="40"/>
      <c r="AB3" s="57"/>
      <c r="AC3" s="57"/>
      <c r="AD3" s="101">
        <f>'Données TSP (TWh)'!AD3 *E14</f>
        <v>72.187049497454936</v>
      </c>
      <c r="AE3" s="40"/>
      <c r="AF3" s="40"/>
      <c r="AG3" s="40"/>
      <c r="AH3" s="42">
        <f>'Données TSP (TWh)'!AH3 *E14</f>
        <v>849.61775280338873</v>
      </c>
      <c r="AI3" s="56"/>
    </row>
    <row r="4" spans="1:35" x14ac:dyDescent="0.35">
      <c r="A4" t="s">
        <v>1</v>
      </c>
      <c r="B4" s="42">
        <f>'Données TSP (TWh)'!B4 *E14</f>
        <v>112.22326293844263</v>
      </c>
      <c r="C4" s="40"/>
      <c r="D4" s="40"/>
      <c r="E4" s="40"/>
      <c r="F4" s="40"/>
      <c r="G4" s="40"/>
      <c r="H4" s="40"/>
      <c r="I4" s="40"/>
      <c r="J4" s="40"/>
      <c r="K4" s="40"/>
      <c r="L4" s="40"/>
      <c r="M4" s="40"/>
      <c r="N4" s="40"/>
      <c r="O4" s="40"/>
      <c r="P4" s="40"/>
      <c r="Q4" s="40"/>
      <c r="R4" s="40"/>
      <c r="S4" s="40"/>
      <c r="T4" s="40"/>
      <c r="U4" s="56"/>
      <c r="V4" s="40"/>
      <c r="W4" s="56"/>
      <c r="X4" s="56"/>
      <c r="Y4" s="56"/>
      <c r="Z4" s="3">
        <f>'Données TSP (TWh)'!Z4 *E14</f>
        <v>35.246621026588542</v>
      </c>
      <c r="AA4" s="40"/>
      <c r="AB4" s="57"/>
      <c r="AC4" s="57"/>
      <c r="AD4" s="101">
        <f>'Données TSP (TWh)'!AD4 *E14</f>
        <v>52.784759720452165</v>
      </c>
      <c r="AE4" s="40"/>
      <c r="AF4" s="40"/>
      <c r="AG4" s="40"/>
      <c r="AH4" s="42">
        <f>'Données TSP (TWh)'!AH4 *E14</f>
        <v>129.75251699610942</v>
      </c>
      <c r="AI4" s="56"/>
    </row>
    <row r="5" spans="1:35" x14ac:dyDescent="0.35">
      <c r="A5" t="s">
        <v>19</v>
      </c>
      <c r="B5" s="146">
        <f>'Données TSP (TWh)'!B5 * E13 *E14</f>
        <v>238.23091834750798</v>
      </c>
      <c r="C5" s="40"/>
      <c r="D5" s="40"/>
      <c r="E5" s="40"/>
      <c r="F5" s="40"/>
      <c r="G5" s="40"/>
      <c r="H5" s="40"/>
      <c r="I5" s="40"/>
      <c r="J5" s="40"/>
      <c r="K5" s="40"/>
      <c r="L5" s="40"/>
      <c r="M5" s="40"/>
      <c r="N5" s="40"/>
      <c r="O5" s="40"/>
      <c r="P5" s="40"/>
      <c r="Q5" s="40"/>
      <c r="R5" s="40"/>
      <c r="S5" s="40"/>
      <c r="T5" s="40"/>
      <c r="U5" s="56"/>
      <c r="V5" s="40"/>
      <c r="W5" s="56"/>
      <c r="X5" s="56"/>
      <c r="Y5" s="56"/>
      <c r="Z5" s="75">
        <f>'Données TSP (TWh)'!Z5 * E13 *E14</f>
        <v>134.27475499818149</v>
      </c>
      <c r="AA5" s="40"/>
      <c r="AB5" s="57"/>
      <c r="AC5" s="57"/>
      <c r="AD5" s="102">
        <f>'Données TSP (TWh)'!AD5 * E12 *E14</f>
        <v>171.92747833820374</v>
      </c>
      <c r="AE5" s="40"/>
      <c r="AF5" s="40"/>
      <c r="AG5" s="40"/>
      <c r="AH5" s="67">
        <f>B5+AD5-Z5</f>
        <v>275.88364168753026</v>
      </c>
      <c r="AI5" s="56"/>
    </row>
    <row r="6" spans="1:35" x14ac:dyDescent="0.35">
      <c r="A6" t="s">
        <v>51</v>
      </c>
      <c r="B6" s="42">
        <f>'Données TSP (TWh)'!B6 *E14</f>
        <v>9.2841225650676407</v>
      </c>
      <c r="C6" s="40"/>
      <c r="D6" s="40"/>
      <c r="E6" s="40"/>
      <c r="F6" s="40"/>
      <c r="G6" s="40"/>
      <c r="H6" s="40"/>
      <c r="I6" s="40"/>
      <c r="J6" s="40"/>
      <c r="K6" s="40"/>
      <c r="L6" s="40"/>
      <c r="M6" s="40"/>
      <c r="N6" s="40"/>
      <c r="O6" s="40"/>
      <c r="P6" s="40"/>
      <c r="Q6" s="40"/>
      <c r="R6" s="40"/>
      <c r="S6" s="40"/>
      <c r="T6" s="40"/>
      <c r="U6" s="56"/>
      <c r="V6" s="40"/>
      <c r="W6" s="56"/>
      <c r="X6" s="56"/>
      <c r="Y6" s="56"/>
      <c r="Z6" s="3">
        <f>'Données TSP (TWh)'!Z6 *E14</f>
        <v>4.9175185970546522</v>
      </c>
      <c r="AA6" s="40"/>
      <c r="AB6" s="57"/>
      <c r="AC6" s="57"/>
      <c r="AD6" s="101">
        <f>'Données TSP (TWh)'!AD6 *E14</f>
        <v>1963.6567534252267</v>
      </c>
      <c r="AE6" s="40"/>
      <c r="AF6" s="40"/>
      <c r="AG6" s="40"/>
      <c r="AH6" s="42">
        <f>'Données TSP (TWh)'!AH6 *E14</f>
        <v>1968.022117831476</v>
      </c>
      <c r="AI6" s="56"/>
    </row>
    <row r="7" spans="1:35" x14ac:dyDescent="0.35">
      <c r="B7" s="42">
        <f>'Données TSP (TWh)'!B7 *E14</f>
        <v>0</v>
      </c>
      <c r="C7" s="40"/>
      <c r="D7" s="40"/>
      <c r="E7" s="40"/>
      <c r="F7" s="40"/>
      <c r="G7" s="40"/>
      <c r="H7" s="40"/>
      <c r="I7" s="40"/>
      <c r="J7" s="40"/>
      <c r="K7" s="40"/>
      <c r="L7" s="40"/>
      <c r="M7" s="40"/>
      <c r="N7" s="40"/>
      <c r="O7" s="40"/>
      <c r="P7" s="40"/>
      <c r="Q7" s="40"/>
      <c r="R7" s="40"/>
      <c r="S7" s="40"/>
      <c r="T7" s="40"/>
      <c r="U7" s="56"/>
      <c r="V7" s="40"/>
      <c r="W7" s="56"/>
      <c r="X7" s="56"/>
      <c r="Y7" s="56"/>
      <c r="Z7" s="3">
        <f>'Données TSP (TWh)'!Z7 *E14</f>
        <v>0</v>
      </c>
      <c r="AA7" s="40"/>
      <c r="AB7" s="57"/>
      <c r="AC7" s="57"/>
      <c r="AD7" s="101">
        <f>'Données TSP (TWh)'!AD7 *E14</f>
        <v>0</v>
      </c>
      <c r="AE7" s="40"/>
      <c r="AF7" s="40"/>
      <c r="AG7" s="40"/>
      <c r="AH7" s="42">
        <f>'Données TSP (TWh)'!AH7 *E14</f>
        <v>0</v>
      </c>
      <c r="AI7" s="56"/>
    </row>
    <row r="8" spans="1:35" x14ac:dyDescent="0.35">
      <c r="A8" t="s">
        <v>2</v>
      </c>
      <c r="B8" s="42">
        <f>'Données TSP (TWh)'!B8 *E14</f>
        <v>0</v>
      </c>
      <c r="C8" s="40"/>
      <c r="D8" s="40"/>
      <c r="E8" s="40"/>
      <c r="F8" s="40"/>
      <c r="G8" s="40"/>
      <c r="H8" s="40"/>
      <c r="I8" s="40"/>
      <c r="J8" s="40"/>
      <c r="K8" s="40"/>
      <c r="L8" s="40"/>
      <c r="M8" s="40"/>
      <c r="N8" s="40"/>
      <c r="O8" s="40"/>
      <c r="P8" s="40"/>
      <c r="Q8" s="40"/>
      <c r="R8" s="40"/>
      <c r="S8" s="40"/>
      <c r="T8" s="40"/>
      <c r="U8" s="56"/>
      <c r="V8" s="40"/>
      <c r="W8" s="56"/>
      <c r="X8" s="56"/>
      <c r="Y8" s="56"/>
      <c r="Z8" s="3">
        <f>'Données TSP (TWh)'!Z8 *E14</f>
        <v>0</v>
      </c>
      <c r="AA8" s="40"/>
      <c r="AB8" s="57"/>
      <c r="AC8" s="57"/>
      <c r="AD8" s="101">
        <f>'Données TSP (TWh)'!AD8 *E14</f>
        <v>391.61964311763666</v>
      </c>
      <c r="AE8" s="40"/>
      <c r="AF8" s="40"/>
      <c r="AG8" s="40"/>
      <c r="AH8" s="42">
        <f>'Données TSP (TWh)'!AH8 *E14</f>
        <v>391.61964311763666</v>
      </c>
      <c r="AI8" s="56"/>
    </row>
    <row r="9" spans="1:35" x14ac:dyDescent="0.35">
      <c r="A9" t="s">
        <v>3</v>
      </c>
      <c r="B9" s="42">
        <f>'Données TSP (TWh)'!B9 *E14</f>
        <v>0</v>
      </c>
      <c r="C9" s="40"/>
      <c r="D9" s="40"/>
      <c r="E9" s="40"/>
      <c r="F9" s="40"/>
      <c r="G9" s="40"/>
      <c r="H9" s="40"/>
      <c r="I9" s="40"/>
      <c r="J9" s="40"/>
      <c r="K9" s="40"/>
      <c r="L9" s="40"/>
      <c r="M9" s="40"/>
      <c r="N9" s="40"/>
      <c r="O9" s="40"/>
      <c r="P9" s="40"/>
      <c r="Q9" s="40"/>
      <c r="R9" s="40"/>
      <c r="S9" s="40"/>
      <c r="T9" s="40"/>
      <c r="U9" s="56"/>
      <c r="V9" s="40"/>
      <c r="W9" s="56"/>
      <c r="X9" s="56"/>
      <c r="Y9" s="56"/>
      <c r="Z9" s="3">
        <f>'Données TSP (TWh)'!Z9 *E14</f>
        <v>2.6966763250825716E-2</v>
      </c>
      <c r="AA9" s="40"/>
      <c r="AB9" s="57"/>
      <c r="AC9" s="57"/>
      <c r="AD9" s="101">
        <f>'Données TSP (TWh)'!AD9 *E14</f>
        <v>1.2067239972228656</v>
      </c>
      <c r="AE9" s="40"/>
      <c r="AF9" s="40"/>
      <c r="AG9" s="40"/>
      <c r="AH9" s="42">
        <f>'Données TSP (TWh)'!AH9 *E14</f>
        <v>1.3845071475403961</v>
      </c>
      <c r="AI9" s="56"/>
    </row>
    <row r="10" spans="1:35" s="13" customFormat="1" x14ac:dyDescent="0.35">
      <c r="A10" s="12" t="s">
        <v>5</v>
      </c>
      <c r="B10" s="43">
        <f>SUM(B3:B9)</f>
        <v>1611.0771280934425</v>
      </c>
      <c r="C10" s="60"/>
      <c r="D10" s="60"/>
      <c r="E10" s="60"/>
      <c r="F10" s="60"/>
      <c r="G10" s="60"/>
      <c r="H10" s="60"/>
      <c r="I10" s="60"/>
      <c r="J10" s="60"/>
      <c r="K10" s="60"/>
      <c r="L10" s="60"/>
      <c r="M10" s="60"/>
      <c r="N10" s="60"/>
      <c r="O10" s="60"/>
      <c r="P10" s="60"/>
      <c r="Q10" s="60"/>
      <c r="R10" s="60"/>
      <c r="S10" s="60"/>
      <c r="T10" s="60"/>
      <c r="U10" s="59"/>
      <c r="V10" s="60"/>
      <c r="W10" s="59"/>
      <c r="X10" s="59"/>
      <c r="Y10" s="46">
        <f>'Données TSP (TWh)'!Y10 *E15</f>
        <v>1794.7312149999998</v>
      </c>
      <c r="Z10" s="64">
        <f>SUM(Z3:Z9)</f>
        <v>648.21952492599144</v>
      </c>
      <c r="AA10" s="60"/>
      <c r="AB10" s="59"/>
      <c r="AC10" s="46">
        <f>'Données TSP (TWh)'!AC10 *E15</f>
        <v>522.07871163408322</v>
      </c>
      <c r="AD10" s="64">
        <f>SUM(AD3:AD9)</f>
        <v>2653.3824080961972</v>
      </c>
      <c r="AE10" s="60"/>
      <c r="AF10" s="60"/>
      <c r="AG10" s="66">
        <f>'Données TSP (TWh)'!AG10*E15</f>
        <v>839.09571084981644</v>
      </c>
      <c r="AH10" s="43">
        <f>SUM(AH3:AH9)</f>
        <v>3616.2801795836813</v>
      </c>
      <c r="AI10" s="46">
        <f>'Données TSP (TWh)'!AI10  *E15</f>
        <v>2111.9597255580425</v>
      </c>
    </row>
    <row r="12" spans="1:35" x14ac:dyDescent="0.35">
      <c r="A12" s="325" t="s">
        <v>133</v>
      </c>
      <c r="B12" s="326"/>
      <c r="C12" s="326"/>
      <c r="D12" s="326"/>
      <c r="E12" s="63">
        <v>1.5</v>
      </c>
    </row>
    <row r="13" spans="1:35" x14ac:dyDescent="0.35">
      <c r="A13" s="325" t="s">
        <v>134</v>
      </c>
      <c r="B13" s="326"/>
      <c r="C13" s="326"/>
      <c r="D13" s="326"/>
      <c r="E13" s="61">
        <v>2</v>
      </c>
    </row>
    <row r="14" spans="1:35" x14ac:dyDescent="0.35">
      <c r="A14" s="74"/>
      <c r="B14" s="318" t="s">
        <v>101</v>
      </c>
      <c r="C14" s="319"/>
      <c r="D14" s="319"/>
      <c r="E14" s="61">
        <v>1</v>
      </c>
    </row>
    <row r="15" spans="1:35" x14ac:dyDescent="0.35">
      <c r="A15" s="74"/>
      <c r="B15" s="145"/>
      <c r="C15" s="145"/>
      <c r="D15" s="145" t="s">
        <v>102</v>
      </c>
      <c r="E15" s="8">
        <f>'Données SDES converties (TWh)'!Z10/'Données TSP (TWh)'!Y10</f>
        <v>1.0189006661538424</v>
      </c>
    </row>
    <row r="16" spans="1:35" ht="15" thickBot="1" x14ac:dyDescent="0.4">
      <c r="AI16" s="48"/>
    </row>
    <row r="17" spans="1:37" ht="322.5" customHeight="1" x14ac:dyDescent="0.35">
      <c r="A17" s="1"/>
      <c r="B17" s="214" t="s">
        <v>125</v>
      </c>
      <c r="C17" s="215" t="s">
        <v>131</v>
      </c>
      <c r="D17" s="216" t="s">
        <v>126</v>
      </c>
    </row>
    <row r="18" spans="1:37" ht="388.5" customHeight="1" thickBot="1" x14ac:dyDescent="0.4">
      <c r="B18" s="217"/>
      <c r="C18" s="218" t="s">
        <v>132</v>
      </c>
      <c r="D18" s="219"/>
    </row>
    <row r="19" spans="1:37" x14ac:dyDescent="0.35">
      <c r="C19" s="127"/>
      <c r="I19" s="16"/>
      <c r="J19" s="16"/>
      <c r="K19" s="16"/>
      <c r="L19" s="16"/>
      <c r="M19" s="16"/>
      <c r="N19" s="16"/>
      <c r="O19" s="16"/>
      <c r="P19" s="16"/>
      <c r="Q19" s="16"/>
      <c r="R19" s="16"/>
      <c r="S19" s="16"/>
      <c r="T19" s="16"/>
      <c r="U19" s="16"/>
      <c r="V19" s="16"/>
    </row>
    <row r="20" spans="1:37" x14ac:dyDescent="0.35">
      <c r="I20" s="16"/>
      <c r="J20" s="16"/>
      <c r="K20" s="16"/>
      <c r="L20" s="15"/>
      <c r="M20" s="15"/>
      <c r="N20" s="15"/>
      <c r="O20" s="15"/>
      <c r="P20" s="15"/>
      <c r="Q20" s="15"/>
      <c r="R20" s="15"/>
      <c r="S20" s="15"/>
      <c r="T20" s="15"/>
      <c r="U20" s="15"/>
      <c r="V20" s="15"/>
      <c r="W20" s="15"/>
      <c r="X20" s="15"/>
    </row>
    <row r="21" spans="1:37" x14ac:dyDescent="0.35">
      <c r="I21" s="16"/>
      <c r="J21" s="15"/>
      <c r="K21" s="15"/>
      <c r="L21" s="15"/>
      <c r="M21" s="15"/>
      <c r="N21" s="15"/>
      <c r="O21" s="15"/>
      <c r="P21" s="15"/>
      <c r="Q21" s="15"/>
      <c r="R21" s="15"/>
      <c r="S21" s="15"/>
      <c r="T21" s="15"/>
      <c r="U21" s="15"/>
      <c r="V21" s="15"/>
      <c r="W21" s="15"/>
      <c r="X21" s="15"/>
    </row>
    <row r="22" spans="1:37" x14ac:dyDescent="0.35">
      <c r="I22" s="16"/>
      <c r="J22" s="16"/>
      <c r="K22" s="16"/>
      <c r="L22" s="15"/>
      <c r="M22" s="15"/>
      <c r="N22" s="16"/>
      <c r="O22" s="16"/>
      <c r="P22" s="16"/>
      <c r="Q22" s="16"/>
      <c r="R22" s="16"/>
      <c r="S22" s="16"/>
      <c r="T22" s="16"/>
      <c r="U22" s="16"/>
      <c r="V22" s="16"/>
      <c r="W22" s="16"/>
      <c r="X22" s="16"/>
    </row>
    <row r="23" spans="1:37" x14ac:dyDescent="0.35">
      <c r="I23" s="16"/>
      <c r="J23" s="16"/>
      <c r="K23" s="16"/>
      <c r="L23" s="15"/>
      <c r="M23" s="15"/>
      <c r="N23" s="16"/>
      <c r="O23" s="16"/>
      <c r="P23" s="16"/>
      <c r="Q23" s="16"/>
      <c r="R23" s="16"/>
      <c r="S23" s="16"/>
      <c r="T23" s="16"/>
      <c r="U23" s="16"/>
      <c r="V23" s="16"/>
      <c r="W23" s="16"/>
      <c r="X23" s="16"/>
    </row>
    <row r="24" spans="1:37" x14ac:dyDescent="0.35">
      <c r="I24" s="16"/>
      <c r="J24" s="16"/>
      <c r="K24" s="16"/>
      <c r="L24" s="15"/>
      <c r="M24" s="15"/>
      <c r="N24" s="16"/>
      <c r="O24" s="16"/>
      <c r="P24" s="16"/>
      <c r="Q24" s="16"/>
      <c r="R24" s="16"/>
      <c r="S24" s="16"/>
      <c r="T24" s="16"/>
      <c r="U24" s="16"/>
      <c r="V24" s="16"/>
      <c r="W24" s="16"/>
      <c r="X24" s="16"/>
    </row>
    <row r="25" spans="1:37" x14ac:dyDescent="0.35">
      <c r="I25" s="16"/>
      <c r="J25" s="16"/>
      <c r="K25" s="16"/>
      <c r="L25" s="15"/>
      <c r="M25" s="15"/>
      <c r="N25" s="16"/>
      <c r="O25" s="16"/>
      <c r="P25" s="16"/>
      <c r="Q25" s="16"/>
      <c r="R25" s="16"/>
      <c r="S25" s="16"/>
      <c r="T25" s="16"/>
      <c r="U25" s="16"/>
      <c r="V25" s="16"/>
      <c r="W25" s="16"/>
      <c r="X25" s="16"/>
    </row>
    <row r="26" spans="1:37" x14ac:dyDescent="0.35">
      <c r="I26" s="16"/>
      <c r="J26" s="16"/>
      <c r="K26" s="16"/>
      <c r="L26" s="15"/>
      <c r="M26" s="15"/>
      <c r="N26" s="16"/>
      <c r="O26" s="16"/>
      <c r="P26" s="16"/>
      <c r="Q26" s="16"/>
      <c r="R26" s="16"/>
      <c r="S26" s="16"/>
      <c r="T26" s="16"/>
      <c r="U26" s="16"/>
      <c r="V26" s="16"/>
      <c r="W26" s="16"/>
      <c r="X26" s="16"/>
    </row>
    <row r="27" spans="1:37" x14ac:dyDescent="0.35">
      <c r="I27" s="16"/>
      <c r="J27" s="16"/>
      <c r="K27" s="16"/>
      <c r="L27" s="15"/>
      <c r="M27" s="15"/>
      <c r="N27" s="16"/>
      <c r="O27" s="16"/>
      <c r="P27" s="16"/>
      <c r="Q27" s="16"/>
      <c r="R27" s="16"/>
      <c r="S27" s="16"/>
      <c r="T27" s="16"/>
      <c r="U27" s="16"/>
      <c r="V27" s="16"/>
      <c r="W27" s="16"/>
      <c r="X27" s="16"/>
    </row>
    <row r="28" spans="1:37" x14ac:dyDescent="0.35">
      <c r="I28" s="16"/>
      <c r="J28" s="15"/>
      <c r="K28" s="15"/>
      <c r="L28" s="15"/>
      <c r="M28" s="15"/>
      <c r="N28" s="15"/>
      <c r="O28" s="15"/>
      <c r="P28" s="15"/>
      <c r="Q28" s="15"/>
      <c r="R28" s="15"/>
      <c r="S28" s="15"/>
      <c r="T28" s="15"/>
      <c r="U28" s="15"/>
      <c r="V28" s="15"/>
      <c r="W28" s="15"/>
      <c r="X28" s="15"/>
      <c r="Y28" s="2"/>
      <c r="Z28" s="2"/>
      <c r="AA28" s="2"/>
      <c r="AB28" s="2"/>
      <c r="AC28" s="2"/>
      <c r="AD28" s="2"/>
      <c r="AE28" s="2"/>
      <c r="AF28" s="2"/>
      <c r="AG28" s="2"/>
      <c r="AH28" s="2"/>
      <c r="AI28" s="2"/>
      <c r="AJ28" s="2"/>
      <c r="AK28" s="2"/>
    </row>
    <row r="29" spans="1:37" x14ac:dyDescent="0.35">
      <c r="I29" s="16"/>
      <c r="J29" s="16"/>
      <c r="K29" s="16"/>
      <c r="L29" s="16"/>
      <c r="M29" s="16"/>
      <c r="N29" s="16"/>
      <c r="O29" s="16"/>
      <c r="P29" s="16"/>
      <c r="Q29" s="16"/>
      <c r="R29" s="16"/>
      <c r="S29" s="16"/>
      <c r="T29" s="16"/>
      <c r="U29" s="16"/>
      <c r="V29" s="16"/>
    </row>
  </sheetData>
  <mergeCells count="11">
    <mergeCell ref="Z1:AC1"/>
    <mergeCell ref="X1:Y1"/>
    <mergeCell ref="AH1:AI1"/>
    <mergeCell ref="U1:W1"/>
    <mergeCell ref="AD1:AG1"/>
    <mergeCell ref="B14:D14"/>
    <mergeCell ref="A12:D12"/>
    <mergeCell ref="B1:D1"/>
    <mergeCell ref="E1:N1"/>
    <mergeCell ref="P1:T1"/>
    <mergeCell ref="A13:D1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Bienvenue !</vt:lpstr>
      <vt:lpstr>DONNÉES COMPILÉES (TWh, 2018)</vt:lpstr>
      <vt:lpstr>Figure 2 - EMPREINTE</vt:lpstr>
      <vt:lpstr>Figure 3 - EXPOSITION</vt:lpstr>
      <vt:lpstr>Figure 4 -Données géographiques</vt:lpstr>
      <vt:lpstr>Données SDES (Mtep)</vt:lpstr>
      <vt:lpstr>Données SDES converties (TWh)</vt:lpstr>
      <vt:lpstr>Données TSP (TWh)</vt:lpstr>
      <vt:lpstr>Données TSP recalibrées (TWh)</vt:lpstr>
      <vt:lpstr>Mix électriques EU (TWh)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Théo Wittersheim</dc:creator>
  <cp:lastModifiedBy>Théo Wittersheim</cp:lastModifiedBy>
  <dcterms:created xsi:type="dcterms:W3CDTF">2025-01-30T20:22:43Z</dcterms:created>
  <dcterms:modified xsi:type="dcterms:W3CDTF">2025-04-22T10:14:01Z</dcterms:modified>
</cp:coreProperties>
</file>