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240" yWindow="110" windowWidth="14810" windowHeight="8010" activeTab="1"/>
  </bookViews>
  <sheets>
    <sheet name="Video Categories" sheetId="20" r:id="rId1"/>
    <sheet name="Adult websites" sheetId="8" r:id="rId2"/>
    <sheet name="VoD websites" sheetId="15" r:id="rId3"/>
    <sheet name="Tube websites" sheetId="18" r:id="rId4"/>
    <sheet name="CO2" sheetId="21" r:id="rId5"/>
    <sheet name="Sources" sheetId="17" r:id="rId6"/>
  </sheets>
  <calcPr calcId="152511"/>
</workbook>
</file>

<file path=xl/calcChain.xml><?xml version="1.0" encoding="utf-8"?>
<calcChain xmlns="http://schemas.openxmlformats.org/spreadsheetml/2006/main">
  <c r="G9" i="21" l="1"/>
  <c r="F9" i="21"/>
  <c r="E9" i="21"/>
  <c r="D9" i="21"/>
  <c r="E18" i="18" l="1"/>
  <c r="E22" i="15"/>
  <c r="F17" i="21" l="1"/>
  <c r="E17" i="21"/>
  <c r="D17" i="21"/>
  <c r="F11" i="21"/>
  <c r="F18" i="21" s="1"/>
  <c r="E11" i="21"/>
  <c r="E18" i="21" s="1"/>
  <c r="D11" i="21"/>
  <c r="D18" i="21" s="1"/>
  <c r="F6" i="21" l="1"/>
  <c r="E6" i="21"/>
  <c r="H22" i="15"/>
  <c r="C7" i="21"/>
  <c r="G18" i="18"/>
  <c r="G22" i="15"/>
  <c r="D14" i="20"/>
  <c r="F71" i="8" s="1"/>
  <c r="D8" i="21" l="1"/>
  <c r="D7" i="21" l="1"/>
  <c r="F22" i="15" l="1"/>
  <c r="E7" i="21" s="1"/>
  <c r="D22" i="15" l="1"/>
  <c r="E10" i="18"/>
  <c r="E6" i="18"/>
  <c r="E11" i="18"/>
  <c r="E9" i="18"/>
  <c r="E8" i="18"/>
  <c r="E7" i="18"/>
  <c r="D11" i="18"/>
  <c r="D10" i="18"/>
  <c r="D9" i="18"/>
  <c r="D8" i="18"/>
  <c r="D7" i="18"/>
  <c r="D6" i="18" l="1"/>
  <c r="C18" i="18" l="1"/>
  <c r="D15" i="15"/>
  <c r="D14" i="15"/>
  <c r="D13" i="15"/>
  <c r="D12" i="15"/>
  <c r="D11" i="15"/>
  <c r="D10" i="15"/>
  <c r="D9" i="15"/>
  <c r="D8" i="15"/>
  <c r="D7" i="15"/>
  <c r="D6" i="15"/>
  <c r="E14" i="15"/>
  <c r="E11" i="15"/>
  <c r="E13" i="15"/>
  <c r="E10" i="15"/>
  <c r="E9" i="15"/>
  <c r="E12" i="15"/>
  <c r="E15" i="15"/>
  <c r="E7" i="15"/>
  <c r="E8" i="15"/>
  <c r="E6" i="15"/>
  <c r="C22" i="15" l="1"/>
  <c r="D72" i="8" l="1"/>
  <c r="C64" i="8" l="1"/>
  <c r="E64" i="8" s="1"/>
  <c r="D71" i="8" s="1"/>
  <c r="E11" i="8"/>
  <c r="D12" i="8" l="1"/>
  <c r="D11" i="8"/>
  <c r="D10" i="8"/>
  <c r="E12" i="8"/>
  <c r="E10" i="8"/>
  <c r="E9" i="8" l="1"/>
  <c r="E8" i="8"/>
  <c r="E7" i="8"/>
  <c r="E6" i="8"/>
  <c r="D9" i="8"/>
  <c r="D8" i="8"/>
  <c r="D7" i="8"/>
  <c r="D6" i="8"/>
  <c r="C71" i="8" l="1"/>
  <c r="E71" i="8" s="1"/>
  <c r="G71" i="8" s="1"/>
  <c r="D6" i="21" s="1"/>
  <c r="G6" i="21" l="1"/>
  <c r="G7" i="21" s="1"/>
  <c r="G8" i="21" s="1"/>
  <c r="F18" i="18"/>
  <c r="E8" i="21"/>
  <c r="F7" i="21" l="1"/>
  <c r="F8" i="21" s="1"/>
  <c r="C8" i="21" s="1"/>
  <c r="D18" i="18"/>
  <c r="C6" i="21"/>
  <c r="G17" i="21"/>
  <c r="C17" i="21" s="1"/>
  <c r="G11" i="21"/>
  <c r="C11" i="21" s="1"/>
  <c r="C9" i="21"/>
  <c r="G18" i="21" l="1"/>
  <c r="C18" i="21" s="1"/>
</calcChain>
</file>

<file path=xl/comments1.xml><?xml version="1.0" encoding="utf-8"?>
<comments xmlns="http://schemas.openxmlformats.org/spreadsheetml/2006/main">
  <authors>
    <author>Auteur</author>
  </authors>
  <commentList>
    <comment ref="C71" authorId="0" shapeId="0">
      <text>
        <r>
          <rPr>
            <b/>
            <sz val="9"/>
            <color indexed="81"/>
            <rFont val="Tahoma"/>
            <charset val="1"/>
          </rPr>
          <t>Auteur:</t>
        </r>
        <r>
          <rPr>
            <sz val="9"/>
            <color indexed="81"/>
            <rFont val="Tahoma"/>
            <charset val="1"/>
          </rPr>
          <t xml:space="preserve">
Update to come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E22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Updated : conversion corrected (from bps to B/s)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Update : for all the categories, calculation linked to the correction of the mean bitrate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Update : for all the categories, output of the 1byte model, with updated inputs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Update : for all the categories, calcultations linked to the updated output of 1byte model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Update : for all the categories, final figures with the corrected "mean bitrate"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Update : for all the categories, final figures with the corrected "mean bitrate"</t>
        </r>
      </text>
    </comment>
  </commentList>
</comments>
</file>

<file path=xl/sharedStrings.xml><?xml version="1.0" encoding="utf-8"?>
<sst xmlns="http://schemas.openxmlformats.org/spreadsheetml/2006/main" count="418" uniqueCount="255">
  <si>
    <t>/</t>
  </si>
  <si>
    <t>Website</t>
  </si>
  <si>
    <t>Analytics tool : SimilarWeb</t>
  </si>
  <si>
    <t>World Rank</t>
  </si>
  <si>
    <t>Comments</t>
  </si>
  <si>
    <t>6-months average (07/2018 - 12/2018)</t>
  </si>
  <si>
    <t>Pages per visit
(in pages)</t>
  </si>
  <si>
    <t>Xvideos</t>
  </si>
  <si>
    <t>Pornhub</t>
  </si>
  <si>
    <t>XNXX</t>
  </si>
  <si>
    <t>xHamster</t>
  </si>
  <si>
    <t>Month</t>
  </si>
  <si>
    <t>08/2018</t>
  </si>
  <si>
    <t>09/2018</t>
  </si>
  <si>
    <t>10/2018</t>
  </si>
  <si>
    <t>11/2018</t>
  </si>
  <si>
    <t>12/2018</t>
  </si>
  <si>
    <t>07/2018</t>
  </si>
  <si>
    <t>Analytics tool : SimilarWeb (raw data : visits, in billions of visits)</t>
  </si>
  <si>
    <t>https://www.similarweb.com/website/pornhub.com (visited on 09/01/2019)</t>
  </si>
  <si>
    <t>https://www.similarweb.com/website/xvideos.com#overview (visited on 09/01/2019)</t>
  </si>
  <si>
    <t>https://www.similarweb.com/website/xnxx.com#overview (visited on 09/01/2019)</t>
  </si>
  <si>
    <t>https://www.similarweb.com/website/xhamster.com#overview (visited on 09/01/2019)</t>
  </si>
  <si>
    <t>https://www.similarweb.com/website/youtube.com#overview (visited on 09/01/2019)</t>
  </si>
  <si>
    <t>Adult websites among the 100 most visited websites in the world. Ranking : 12/2018.</t>
  </si>
  <si>
    <t>Chaturbate</t>
  </si>
  <si>
    <t>Youporn</t>
  </si>
  <si>
    <t>Redtube</t>
  </si>
  <si>
    <t>50 most visited adult websites in the world. Ranking : 12/2018.</t>
  </si>
  <si>
    <t>spankbang.com</t>
  </si>
  <si>
    <t>atianqi.com</t>
  </si>
  <si>
    <t>e-hentai.org</t>
  </si>
  <si>
    <t>xnxx.tv</t>
  </si>
  <si>
    <t>xhamsterlive.com</t>
  </si>
  <si>
    <t>pornpics.com</t>
  </si>
  <si>
    <t>beeg.com</t>
  </si>
  <si>
    <t>porn.com</t>
  </si>
  <si>
    <t>porn300.com</t>
  </si>
  <si>
    <t>youporn.sexy</t>
  </si>
  <si>
    <t>eroterest.net</t>
  </si>
  <si>
    <t>tube8.com</t>
  </si>
  <si>
    <t>xvideos2.com</t>
  </si>
  <si>
    <t>imagefap.com</t>
  </si>
  <si>
    <t>serviporno.com</t>
  </si>
  <si>
    <t>hitomi.la</t>
  </si>
  <si>
    <t>movie.eroterest.net</t>
  </si>
  <si>
    <t>bongacams.com</t>
  </si>
  <si>
    <t>avgle.com</t>
  </si>
  <si>
    <t>thumbzilla.com</t>
  </si>
  <si>
    <t>gotporn.com</t>
  </si>
  <si>
    <t>txxx.com</t>
  </si>
  <si>
    <t>yespornplease.com</t>
  </si>
  <si>
    <t>pornhubpremium.com</t>
  </si>
  <si>
    <t>adultfrienfinder.com</t>
  </si>
  <si>
    <t>cityheaven.net</t>
  </si>
  <si>
    <t>vporn.com</t>
  </si>
  <si>
    <t>tnaflix.com</t>
  </si>
  <si>
    <t>brazzersnetwork.com</t>
  </si>
  <si>
    <t>pornhdvideos.net</t>
  </si>
  <si>
    <t>ixxx.com</t>
  </si>
  <si>
    <t>pornhd.com</t>
  </si>
  <si>
    <t>xtube.com</t>
  </si>
  <si>
    <t>eporner.com</t>
  </si>
  <si>
    <t>V</t>
  </si>
  <si>
    <t>X</t>
  </si>
  <si>
    <t>Video streaming website ?</t>
  </si>
  <si>
    <t>Other types of websites : images, dating, live etc.</t>
  </si>
  <si>
    <t>dmm.co.jp</t>
  </si>
  <si>
    <t>nhentai.net</t>
  </si>
  <si>
    <t>livejasmin.com</t>
  </si>
  <si>
    <t>youjizz.com</t>
  </si>
  <si>
    <t>myfreecams.com</t>
  </si>
  <si>
    <t>rule34.XXX</t>
  </si>
  <si>
    <t>nutaku</t>
  </si>
  <si>
    <t>Calculations</t>
  </si>
  <si>
    <t>pornhub.com</t>
  </si>
  <si>
    <t>xvideos.com</t>
  </si>
  <si>
    <t>xnxx.com</t>
  </si>
  <si>
    <t>xhamster.com</t>
  </si>
  <si>
    <t>chaturbate.com</t>
  </si>
  <si>
    <t>redtube.com</t>
  </si>
  <si>
    <t>youporn.com</t>
  </si>
  <si>
    <t>Calculations : pornhub.com statistics</t>
  </si>
  <si>
    <t>Source</t>
  </si>
  <si>
    <t>Total monthly visits 
(in visits)</t>
  </si>
  <si>
    <t>Total yearly visits 
(in visits)</t>
  </si>
  <si>
    <t>Total for 2018</t>
  </si>
  <si>
    <t>Visits for 1 month : 12/2018</t>
  </si>
  <si>
    <t>Data transferred
(in bytes)</t>
  </si>
  <si>
    <t>Data transferred by visit
(in B/visit)</t>
  </si>
  <si>
    <t>Total visits for 2018 ; consistent with SimilarWeb results</t>
  </si>
  <si>
    <t>Average data traffic for 1 visit</t>
  </si>
  <si>
    <t>Calculations : total yearly traffic for adult video websites</t>
  </si>
  <si>
    <t>https://www.similarweb.com/website/chaturbate.com#overview (visited on 09/01/2019)</t>
  </si>
  <si>
    <t>https://www.similarweb.com/website/redtube.com#overview (visited on 09/01/2019)</t>
  </si>
  <si>
    <t>https://www.similarweb.com/website/youporn.com#overview (visited on 09/01/2019)</t>
  </si>
  <si>
    <t>Share of adult websites in internet video traffic
(in %)</t>
  </si>
  <si>
    <t>Monthly average for 2018</t>
  </si>
  <si>
    <t>Total monthly data traffic [adult videos]
(in B)</t>
  </si>
  <si>
    <t>Monthly total for 2018</t>
  </si>
  <si>
    <t>Total monthly 
data traffic 
[all internet videos]
(in B)</t>
  </si>
  <si>
    <t>https://www.similarweb.com/top-websites/category/adult</t>
  </si>
  <si>
    <t>netflix.com</t>
  </si>
  <si>
    <t>Source (direct link)</t>
  </si>
  <si>
    <t>primevideo.com</t>
  </si>
  <si>
    <t>hulu.com</t>
  </si>
  <si>
    <t>tv.youtube.com</t>
  </si>
  <si>
    <t>showtime.com</t>
  </si>
  <si>
    <t>sling.com</t>
  </si>
  <si>
    <t>acorn.tv</t>
  </si>
  <si>
    <t>fubo.tv</t>
  </si>
  <si>
    <t>sonycrackle.com</t>
  </si>
  <si>
    <t>ocs.fr</t>
  </si>
  <si>
    <t>Analytics tool : SimilarWeb (raw data : visits, in millions of visits)</t>
  </si>
  <si>
    <t>https://www.similarweb.com/website/netflix.com#overview (visited on 14/01/2019)</t>
  </si>
  <si>
    <t>https://www.similarweb.com/website/primevideo.com (visited on 14/01/2019)</t>
  </si>
  <si>
    <t>https://www.similarweb.com/website/hulu.com#overview (visited on 14/01/2019)</t>
  </si>
  <si>
    <t>https://www.similarweb.com/website/tv.youtube.com#overview (visited on 14/01/2019)</t>
  </si>
  <si>
    <t>https://www.similarweb.com/website/showtime.com#overview (visited on 14/01/2019)</t>
  </si>
  <si>
    <t>https://www.similarweb.com/website/sling.com#overview (visited on 14/01/2019)</t>
  </si>
  <si>
    <t>https://www.similarweb.com/website/fubo.tv#overview (visited on 14/01/2019)</t>
  </si>
  <si>
    <t>https://www.similarweb.com/website/acorn.tv#overview (visited on 14/01/2019)</t>
  </si>
  <si>
    <t>https://www.similarweb.com/website/sonycrackle.com#overview (visited on 14/01/2019)</t>
  </si>
  <si>
    <t>https://www.similarweb.com/website/ocs.fr#overview (visited on 14/01/2019)</t>
  </si>
  <si>
    <t>Ranking : 12/2018.</t>
  </si>
  <si>
    <t>Calculations : total yearly traffic for long-form video websites</t>
  </si>
  <si>
    <t>Order of magnitude</t>
  </si>
  <si>
    <t>Average visit duration
(in seconds/visit)</t>
  </si>
  <si>
    <t>Share of VoD websites in internet video traffic
(in %)</t>
  </si>
  <si>
    <t>youtube.com</t>
  </si>
  <si>
    <t>dailymotion.com</t>
  </si>
  <si>
    <t>rutube.ru</t>
  </si>
  <si>
    <t>vimeo.com</t>
  </si>
  <si>
    <t>nicovideo.jp</t>
  </si>
  <si>
    <t>youku.com</t>
  </si>
  <si>
    <t>6-months average (07/2018 - 12/2018).
Youtube ~ 95% of tube websites traffic.</t>
  </si>
  <si>
    <t>9.15</t>
  </si>
  <si>
    <t>3.04</t>
  </si>
  <si>
    <t>6.79</t>
  </si>
  <si>
    <t>3.42</t>
  </si>
  <si>
    <t>3.7</t>
  </si>
  <si>
    <t>2.86</t>
  </si>
  <si>
    <t>Share for 2018 global traffic, from SimilarWeb data</t>
  </si>
  <si>
    <t>https://www.similarweb.com/website/dailymotion.com#overview (visited on 18/01/2019)</t>
  </si>
  <si>
    <t>https://www.similarweb.com/website/nicovideo.jp#overview (visited on 18/01/2019)</t>
  </si>
  <si>
    <t>https://www.similarweb.com/website/youku.com#overview (visited on 18/01/2019)</t>
  </si>
  <si>
    <t>https://www.similarweb.com/website/vimeo.com#overview (visited on 18/01/2019)</t>
  </si>
  <si>
    <t>https://www.similarweb.com/website/rutube.ru#overview (visited on 18/01/2019)</t>
  </si>
  <si>
    <t>Sources</t>
  </si>
  <si>
    <t>Link, Bibliography reference</t>
  </si>
  <si>
    <t>Reference</t>
  </si>
  <si>
    <t>Adult Websites</t>
  </si>
  <si>
    <t>Tube Websites</t>
  </si>
  <si>
    <t>VoD Websites</t>
  </si>
  <si>
    <t>[1]</t>
  </si>
  <si>
    <t>[2]</t>
  </si>
  <si>
    <t>Cisco VNI (2018)</t>
  </si>
  <si>
    <r>
      <rPr>
        <sz val="11"/>
        <color theme="1"/>
        <rFont val="Calibri"/>
        <family val="2"/>
      </rPr>
      <t>Cisco (2018).</t>
    </r>
    <r>
      <rPr>
        <i/>
        <sz val="11"/>
        <color theme="1"/>
        <rFont val="Calibri"/>
        <family val="2"/>
      </rPr>
      <t xml:space="preserve"> Cisco Visual Networking Index: Forecast and Trends, 2017–2022</t>
    </r>
    <r>
      <rPr>
        <sz val="11"/>
        <color theme="1"/>
        <rFont val="Calibri"/>
        <family val="2"/>
      </rPr>
      <t xml:space="preserve">. Updated Nov. 2018. Doc. ID : 1543280537836565. </t>
    </r>
  </si>
  <si>
    <t>[3]</t>
  </si>
  <si>
    <r>
      <t xml:space="preserve">Pornhub Insights (2018). </t>
    </r>
    <r>
      <rPr>
        <i/>
        <sz val="11"/>
        <color theme="1"/>
        <rFont val="Calibri"/>
        <family val="2"/>
      </rPr>
      <t>2018, Year in Review. Infography</t>
    </r>
    <r>
      <rPr>
        <sz val="11"/>
        <color theme="1"/>
        <rFont val="Calibri"/>
        <family val="2"/>
      </rPr>
      <t xml:space="preserve">. </t>
    </r>
    <r>
      <rPr>
        <i/>
        <sz val="11"/>
        <color theme="1"/>
        <rFont val="Calibri"/>
        <family val="2"/>
      </rPr>
      <t>https://www.pornhub.com/insights/2018-year-in-review</t>
    </r>
    <r>
      <rPr>
        <sz val="11"/>
        <color theme="1"/>
        <rFont val="Calibri"/>
        <family val="2"/>
      </rPr>
      <t>.</t>
    </r>
  </si>
  <si>
    <t>Pornhub Insights (2018)</t>
  </si>
  <si>
    <t>[1] Cisco VNI (2018)</t>
  </si>
  <si>
    <t>[3] Pornhub Insights (2018)</t>
  </si>
  <si>
    <t>Direct link : https://www.cisco.com/c/en/us/solutions/collateral/service-provider/visual-networking-index-vni/white-paper-c11-741490.html#_Toc529314186</t>
  </si>
  <si>
    <t>Direct link : https://www.cisco.com/c/en/us/solutions/collateral/service-provider/visual-networking-index-vni/white-paper-c11-741490.html#_Toc529314173</t>
  </si>
  <si>
    <t>Cisco VNI (2018) - 1</t>
  </si>
  <si>
    <t>Cisco VNI (2018) - 2</t>
  </si>
  <si>
    <r>
      <rPr>
        <sz val="11"/>
        <color theme="1"/>
        <rFont val="Calibri"/>
        <family val="2"/>
      </rPr>
      <t xml:space="preserve">Aaron, A., Li, Z., Manohara, M., De Cock, J., Ronca, D. (2015). </t>
    </r>
    <r>
      <rPr>
        <i/>
        <sz val="11"/>
        <color theme="1"/>
        <rFont val="Calibri"/>
        <family val="2"/>
      </rPr>
      <t xml:space="preserve">Per-Title Encode Optimization. </t>
    </r>
    <r>
      <rPr>
        <sz val="11"/>
        <color theme="1"/>
        <rFont val="Calibri"/>
        <family val="2"/>
      </rPr>
      <t>Netflix Technology Blog. Dec. 14, 2015.</t>
    </r>
    <r>
      <rPr>
        <i/>
        <sz val="11"/>
        <color theme="1"/>
        <rFont val="Calibri"/>
        <family val="2"/>
      </rPr>
      <t xml:space="preserve"> https://medium.com/netflix-techblog/per-title-encode-optimization-7e99442b62a2</t>
    </r>
  </si>
  <si>
    <t>[4]</t>
  </si>
  <si>
    <t>Netflix Blog (2015)</t>
  </si>
  <si>
    <t>Sandvine Blog (2018)</t>
  </si>
  <si>
    <t>Sandvine Report (2018)</t>
  </si>
  <si>
    <t>[5]</t>
  </si>
  <si>
    <t>[6]</t>
  </si>
  <si>
    <t>[7]</t>
  </si>
  <si>
    <r>
      <rPr>
        <sz val="11"/>
        <color theme="1"/>
        <rFont val="Calibri"/>
        <family val="2"/>
      </rPr>
      <t xml:space="preserve">Cullen, C. (2018). </t>
    </r>
    <r>
      <rPr>
        <i/>
        <sz val="11"/>
        <color theme="1"/>
        <rFont val="Calibri"/>
        <family val="2"/>
      </rPr>
      <t xml:space="preserve">Global Internet Phenomena Report: Netflix is approximately 15 per cent of worldwide downstream traffic. </t>
    </r>
    <r>
      <rPr>
        <sz val="11"/>
        <color theme="1"/>
        <rFont val="Calibri"/>
        <family val="2"/>
      </rPr>
      <t xml:space="preserve">Sept. 28 2018. </t>
    </r>
    <r>
      <rPr>
        <i/>
        <sz val="11"/>
        <color theme="1"/>
        <rFont val="Calibri"/>
        <family val="2"/>
      </rPr>
      <t>https://www.sandvine.com/blog/global-internet-phenomena-report-netflix-is-15-of-worldwide-downstream-traffic</t>
    </r>
  </si>
  <si>
    <t>[2] Sandvine Report (2018)</t>
  </si>
  <si>
    <t>Share for 2018 global traffic (for main VoD providers : Netflix, Amazon Prime and Hulu).</t>
  </si>
  <si>
    <t>Average visit duration
(in h/visit)</t>
  </si>
  <si>
    <t>Definitions and hypothesis : Video Categories</t>
  </si>
  <si>
    <t>Video Category</t>
  </si>
  <si>
    <t>VoD</t>
  </si>
  <si>
    <t>Definition</t>
  </si>
  <si>
    <t>Examples</t>
  </si>
  <si>
    <t>Long-form videos</t>
  </si>
  <si>
    <t>Short-form videos</t>
  </si>
  <si>
    <t>Adult videos</t>
  </si>
  <si>
    <t>Tube videos</t>
  </si>
  <si>
    <t>Category from [1] Cisco VNI (2018)</t>
  </si>
  <si>
    <t>Videos with pornographic content</t>
  </si>
  <si>
    <t>Videos from "tube"-type websites, with no pornographic content</t>
  </si>
  <si>
    <t>Contains long-form and short-form videos</t>
  </si>
  <si>
    <t>Contains long-form videos</t>
  </si>
  <si>
    <t>Videos with professionnally produced contents, from VoD  services providers</t>
  </si>
  <si>
    <t>Netflix, Amazon Prime</t>
  </si>
  <si>
    <t>Videos from adult websites</t>
  </si>
  <si>
    <t>YouTube, Daily Motion</t>
  </si>
  <si>
    <t>YouTube short videos, TikTok videos</t>
  </si>
  <si>
    <t>Movies, series</t>
  </si>
  <si>
    <r>
      <t>Sandvine (2018).</t>
    </r>
    <r>
      <rPr>
        <i/>
        <sz val="11"/>
        <color theme="1"/>
        <rFont val="Calibri"/>
        <family val="2"/>
      </rPr>
      <t xml:space="preserve"> The Global Internet Phenomena Report</t>
    </r>
    <r>
      <rPr>
        <sz val="11"/>
        <color theme="1"/>
        <rFont val="Calibri"/>
        <family val="2"/>
      </rPr>
      <t xml:space="preserve">. October 2018. </t>
    </r>
    <r>
      <rPr>
        <i/>
        <sz val="11"/>
        <color theme="1"/>
        <rFont val="Calibri"/>
        <family val="2"/>
      </rPr>
      <t>https://www.sandvine.com/hubfs/downloads/phenomena/2018-phenomena-report.pdf.</t>
    </r>
  </si>
  <si>
    <t>GHG emissions</t>
  </si>
  <si>
    <t>Share of Internet Video Traffic</t>
  </si>
  <si>
    <t>World Internet 
Video Traffic</t>
  </si>
  <si>
    <t>Total monthly 
data traffic
(in B)</t>
  </si>
  <si>
    <t>Contains the category "YouTube" from [2] Sandvine Report : SimilarWeb data indicates YouTube represents ~ 95% of tube websites traffic.</t>
  </si>
  <si>
    <t>Total internet video traffic.</t>
  </si>
  <si>
    <t>Contains the following categories from [2] Sandvine Report : "Netflix", "Amazon Prime", "Openload", "Hulu".</t>
  </si>
  <si>
    <t>From SimilarWeb data ; contained in the following categories from [2] Sandvine Report : "HTTP Media Stream", "Raw MPEG-TS"</t>
  </si>
  <si>
    <t>[8]</t>
  </si>
  <si>
    <t>SimilarWeb data</t>
  </si>
  <si>
    <t>[2] Sandvine Report ; [8] SimilarWeb data</t>
  </si>
  <si>
    <t>Total monthly watched video time
(in min)</t>
  </si>
  <si>
    <t>World Internet Video Traffic</t>
  </si>
  <si>
    <t>Others
(including Social 
Networks Videos)</t>
  </si>
  <si>
    <t>Yearly Electricity consumption and GHG</t>
  </si>
  <si>
    <t>Calulations</t>
  </si>
  <si>
    <r>
      <t>Carbon intensity factor
(in kgCO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e/kWh)</t>
    </r>
  </si>
  <si>
    <t>[9]</t>
  </si>
  <si>
    <t>https://www.similarweb.com/</t>
  </si>
  <si>
    <t>[9] REN ; average value for World electricity mix</t>
  </si>
  <si>
    <t>Calculated with the [10] 1byte model</t>
  </si>
  <si>
    <t>[10]</t>
  </si>
  <si>
    <t>[8] SimilarWeb data</t>
  </si>
  <si>
    <t>[1] Cisco VNI (2018) ; [2] Sandvine Report (2018) ; 
[8] SimilarWeb data</t>
  </si>
  <si>
    <t>Contains the other types of uses : uses not specified in [2] Sandvine Report, social networks (including the Sandvine categories "Twitch", "Facebook Video") and the Sandvine category "Sky Go".</t>
  </si>
  <si>
    <t>[11]</t>
  </si>
  <si>
    <r>
      <t xml:space="preserve">Google Help Center (2019). </t>
    </r>
    <r>
      <rPr>
        <i/>
        <sz val="11"/>
        <color theme="1"/>
        <rFont val="Calibri"/>
        <family val="2"/>
      </rPr>
      <t>Recommended upload encoding settings</t>
    </r>
    <r>
      <rPr>
        <sz val="11"/>
        <color theme="1"/>
        <rFont val="Calibri"/>
        <family val="2"/>
      </rPr>
      <t xml:space="preserve">. YouTube Help. </t>
    </r>
    <r>
      <rPr>
        <i/>
        <sz val="11"/>
        <color theme="1"/>
        <rFont val="Calibri"/>
        <family val="2"/>
      </rPr>
      <t>https://support.google.com/youtube/answer/1722171?hl=en. Consulted: 13 May 2019.</t>
    </r>
  </si>
  <si>
    <t>Share for 2018 global traffic (for YouTube).</t>
  </si>
  <si>
    <t>Average visit duration
(in minutes/visit)</t>
  </si>
  <si>
    <t>Average for 2018.
Consistent.</t>
  </si>
  <si>
    <t>[12]</t>
  </si>
  <si>
    <t>REN (2018)</t>
  </si>
  <si>
    <t>1byte Model (2018)</t>
  </si>
  <si>
    <t>YouTube Support (2018)</t>
  </si>
  <si>
    <t>Netflix Website (2018)</t>
  </si>
  <si>
    <t>https://www.netflix.com/</t>
  </si>
  <si>
    <t>[4][5][6][7][11][12]</t>
  </si>
  <si>
    <t>Calculations.
Hypothesis : average bitrate is 3 Mbps.</t>
  </si>
  <si>
    <t>Total monthly data traffic [VoD videos]
(in B)</t>
  </si>
  <si>
    <t>Total monthly data traffic [Tube videos]
(in B)</t>
  </si>
  <si>
    <t>Global data : all internet videos</t>
  </si>
  <si>
    <t>Monthly average, for the year 2018</t>
  </si>
  <si>
    <t>Total monthly IP Traffic
(in B)</t>
  </si>
  <si>
    <t>Total monthly 
electricity consumption
(in Wh)</t>
  </si>
  <si>
    <t>Share of internet video
(in %)</t>
  </si>
  <si>
    <t>For internet video only (not included : Managed IP video)</t>
  </si>
  <si>
    <t>Calculation</t>
  </si>
  <si>
    <t>Internet Video Traffic by use and associated GHG</t>
  </si>
  <si>
    <r>
      <rPr>
        <sz val="11"/>
        <color theme="1"/>
        <rFont val="Calibri"/>
        <family val="2"/>
      </rPr>
      <t xml:space="preserve">The Shift Project (2018). </t>
    </r>
    <r>
      <rPr>
        <i/>
        <sz val="11"/>
        <color theme="1"/>
        <rFont val="Calibri"/>
        <family val="2"/>
      </rPr>
      <t xml:space="preserve">[Lean ICT Materials] REN. </t>
    </r>
    <r>
      <rPr>
        <sz val="11"/>
        <color theme="1"/>
        <rFont val="Calibri"/>
        <family val="2"/>
      </rPr>
      <t>"Lean ICT" working group. https://theshiftproject.org/lean-ict-materials/?preview=true</t>
    </r>
  </si>
  <si>
    <r>
      <rPr>
        <sz val="11"/>
        <color theme="1"/>
        <rFont val="Calibri"/>
        <family val="2"/>
      </rPr>
      <t>The Shift Project (2019).</t>
    </r>
    <r>
      <rPr>
        <i/>
        <sz val="11"/>
        <color theme="1"/>
        <rFont val="Calibri"/>
        <family val="2"/>
      </rPr>
      <t xml:space="preserve"> [Video+ Materials] 1byte Model applied to video traffic.</t>
    </r>
    <r>
      <rPr>
        <sz val="11"/>
        <color theme="1"/>
        <rFont val="Calibri"/>
        <family val="2"/>
      </rPr>
      <t xml:space="preserve"> Running of the "1byte" model from "Lean ICT" working group. link</t>
    </r>
  </si>
  <si>
    <t>Total yearly 
electricity consumption
(in TWh)</t>
  </si>
  <si>
    <r>
      <t>Total monthly GHG emissions
(in kgCO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e)</t>
    </r>
  </si>
  <si>
    <r>
      <t>Total yearly GHG emissions
(in MtCO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e)</t>
    </r>
  </si>
  <si>
    <t>Mean bitrate
(B/s)</t>
  </si>
  <si>
    <t>Calculations| result not implied for the final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</si>
</sst>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 tint="0.79998168889431442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rgb="FF000000"/>
      </patternFill>
    </fill>
    <fill>
      <patternFill patternType="solid">
        <fgColor theme="5" tint="-0.499984740745262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rgb="FF7D878C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4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1" fontId="1" fillId="2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11" fontId="1" fillId="5" borderId="0" xfId="0" applyNumberFormat="1" applyFont="1" applyFill="1" applyBorder="1" applyAlignment="1">
      <alignment horizontal="center" vertical="center" wrapText="1"/>
    </xf>
    <xf numFmtId="11" fontId="3" fillId="2" borderId="0" xfId="0" applyNumberFormat="1" applyFont="1" applyFill="1" applyBorder="1" applyAlignment="1">
      <alignment horizontal="left" vertical="center" wrapText="1"/>
    </xf>
    <xf numFmtId="0" fontId="1" fillId="5" borderId="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 wrapText="1"/>
    </xf>
    <xf numFmtId="9" fontId="0" fillId="0" borderId="0" xfId="1" applyFont="1"/>
    <xf numFmtId="0" fontId="3" fillId="2" borderId="0" xfId="0" applyFont="1" applyFill="1" applyBorder="1" applyAlignment="1">
      <alignment horizontal="left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1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right"/>
    </xf>
    <xf numFmtId="9" fontId="1" fillId="2" borderId="1" xfId="1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9" fontId="1" fillId="2" borderId="0" xfId="1" applyNumberFormat="1" applyFont="1" applyFill="1" applyBorder="1" applyAlignment="1">
      <alignment horizontal="center" vertical="center" wrapText="1"/>
    </xf>
    <xf numFmtId="10" fontId="1" fillId="2" borderId="0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9" fontId="1" fillId="2" borderId="0" xfId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11" fontId="0" fillId="0" borderId="0" xfId="1" applyNumberFormat="1" applyFont="1"/>
    <xf numFmtId="0" fontId="3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51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colors>
    <mruColors>
      <color rgb="FFFFFFFF"/>
      <color rgb="FF7D878C"/>
      <color rgb="FF3D5C1E"/>
      <color rgb="FF83A0FD"/>
      <color rgb="FFF3FAFF"/>
      <color rgb="FFE5F4FF"/>
      <color rgb="FF71C2FF"/>
      <color rgb="FFF1F2F3"/>
      <color rgb="FFDCDFE0"/>
      <color rgb="FFCDE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aseline="0"/>
              <a:t>Distribution of online video Traffic </a:t>
            </a:r>
          </a:p>
          <a:p>
            <a:pPr>
              <a:defRPr/>
            </a:pPr>
            <a:r>
              <a:rPr lang="fr-FR" baseline="0"/>
              <a:t>per usage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3"/>
              <c:tx>
                <c:rich>
                  <a:bodyPr/>
                  <a:lstStyle/>
                  <a:p>
                    <a:fld id="{C4BB5EFE-B749-4213-B03E-346BFFFC1011}" type="PERCENTAGE">
                      <a:rPr lang="en-US">
                        <a:solidFill>
                          <a:schemeClr val="bg1">
                            <a:lumMod val="20000"/>
                            <a:lumOff val="80000"/>
                          </a:schemeClr>
                        </a:solidFill>
                      </a:rPr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'CO2'!$D$5:$G$5</c:f>
              <c:strCache>
                <c:ptCount val="4"/>
                <c:pt idx="0">
                  <c:v>Adult videos</c:v>
                </c:pt>
                <c:pt idx="1">
                  <c:v>VoD</c:v>
                </c:pt>
                <c:pt idx="2">
                  <c:v>Tube videos</c:v>
                </c:pt>
                <c:pt idx="3">
                  <c:v>Others
(including Social 
Networks Videos)</c:v>
                </c:pt>
              </c:strCache>
            </c:strRef>
          </c:cat>
          <c:val>
            <c:numRef>
              <c:f>'CO2'!$D$6:$G$6</c:f>
              <c:numCache>
                <c:formatCode>0.00%</c:formatCode>
                <c:ptCount val="4"/>
                <c:pt idx="0">
                  <c:v>0.26693671947952541</c:v>
                </c:pt>
                <c:pt idx="1">
                  <c:v>0.33539999999999998</c:v>
                </c:pt>
                <c:pt idx="2">
                  <c:v>0.21299999999999999</c:v>
                </c:pt>
                <c:pt idx="3">
                  <c:v>0.18466328052047465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4018941382327219"/>
          <c:y val="0.18969925634295715"/>
          <c:w val="0.2236994750656168"/>
          <c:h val="0.7152843394575678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/>
              <a:t>Electricity  consumption associated to Internet video uses</a:t>
            </a:r>
            <a:endParaRPr lang="fr-FR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'CO2'!$C$16:$G$16</c:f>
              <c:strCache>
                <c:ptCount val="5"/>
                <c:pt idx="0">
                  <c:v>World Internet Video Traffic</c:v>
                </c:pt>
                <c:pt idx="1">
                  <c:v>Adult videos</c:v>
                </c:pt>
                <c:pt idx="2">
                  <c:v>VoD</c:v>
                </c:pt>
                <c:pt idx="3">
                  <c:v>Tube videos</c:v>
                </c:pt>
                <c:pt idx="4">
                  <c:v>Others
(including Social 
Networks Videos)</c:v>
                </c:pt>
              </c:strCache>
            </c:strRef>
          </c:cat>
          <c:val>
            <c:numRef>
              <c:f>'CO2'!$C$17:$G$17</c:f>
              <c:numCache>
                <c:formatCode>0</c:formatCode>
                <c:ptCount val="5"/>
                <c:pt idx="0">
                  <c:v>597.35847162217567</c:v>
                </c:pt>
                <c:pt idx="1">
                  <c:v>159.45691076812682</c:v>
                </c:pt>
                <c:pt idx="2">
                  <c:v>200.35403138207764</c:v>
                </c:pt>
                <c:pt idx="3">
                  <c:v>127.23735445552319</c:v>
                </c:pt>
                <c:pt idx="4">
                  <c:v>110.310175016448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028263456"/>
        <c:axId val="-1028261280"/>
      </c:barChart>
      <c:catAx>
        <c:axId val="-10282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8261280"/>
        <c:crosses val="autoZero"/>
        <c:auto val="1"/>
        <c:lblAlgn val="ctr"/>
        <c:lblOffset val="100"/>
        <c:noMultiLvlLbl val="0"/>
      </c:catAx>
      <c:valAx>
        <c:axId val="-10282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826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kern="1200" spc="0" baseline="0">
                <a:solidFill>
                  <a:srgbClr val="595959"/>
                </a:solidFill>
                <a:effectLst/>
              </a:rPr>
              <a:t>GHG emissions associated to Internet video uses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'CO2'!$C$16:$G$16</c:f>
              <c:strCache>
                <c:ptCount val="5"/>
                <c:pt idx="0">
                  <c:v>World Internet Video Traffic</c:v>
                </c:pt>
                <c:pt idx="1">
                  <c:v>Adult videos</c:v>
                </c:pt>
                <c:pt idx="2">
                  <c:v>VoD</c:v>
                </c:pt>
                <c:pt idx="3">
                  <c:v>Tube videos</c:v>
                </c:pt>
                <c:pt idx="4">
                  <c:v>Others
(including Social 
Networks Videos)</c:v>
                </c:pt>
              </c:strCache>
            </c:strRef>
          </c:cat>
          <c:val>
            <c:numRef>
              <c:f>'CO2'!$C$18:$G$18</c:f>
              <c:numCache>
                <c:formatCode>0</c:formatCode>
                <c:ptCount val="5"/>
                <c:pt idx="0">
                  <c:v>310.02904677190918</c:v>
                </c:pt>
                <c:pt idx="1">
                  <c:v>82.758136688657828</c:v>
                </c:pt>
                <c:pt idx="2">
                  <c:v>103.98374228729828</c:v>
                </c:pt>
                <c:pt idx="3">
                  <c:v>66.036186962416551</c:v>
                </c:pt>
                <c:pt idx="4">
                  <c:v>57.250980833536516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028255840"/>
        <c:axId val="-1028256928"/>
      </c:barChart>
      <c:catAx>
        <c:axId val="-10282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8256928"/>
        <c:crosses val="autoZero"/>
        <c:auto val="1"/>
        <c:lblAlgn val="ctr"/>
        <c:lblOffset val="100"/>
        <c:noMultiLvlLbl val="0"/>
      </c:catAx>
      <c:valAx>
        <c:axId val="-102825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MtCO</a:t>
                </a:r>
                <a:r>
                  <a:rPr lang="fr-FR" baseline="-25000"/>
                  <a:t>2</a:t>
                </a:r>
                <a:r>
                  <a:rPr lang="fr-FR"/>
                  <a:t>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82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123471</xdr:colOff>
      <xdr:row>21</xdr:row>
      <xdr:rowOff>155927</xdr:rowOff>
    </xdr:from>
    <xdr:to>
      <xdr:col>3</xdr:col>
      <xdr:colOff>1442860</xdr:colOff>
      <xdr:row>35</xdr:row>
      <xdr:rowOff>147461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1619250</xdr:colOff>
      <xdr:row>22</xdr:row>
      <xdr:rowOff>21873</xdr:rowOff>
    </xdr:from>
    <xdr:to>
      <xdr:col>6</xdr:col>
      <xdr:colOff>1583972</xdr:colOff>
      <xdr:row>38</xdr:row>
      <xdr:rowOff>35276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215194</xdr:colOff>
      <xdr:row>36</xdr:row>
      <xdr:rowOff>113596</xdr:rowOff>
    </xdr:from>
    <xdr:to>
      <xdr:col>3</xdr:col>
      <xdr:colOff>1534583</xdr:colOff>
      <xdr:row>53</xdr:row>
      <xdr:rowOff>141111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TSP">
      <a:dk1>
        <a:srgbClr val="000000"/>
      </a:dk1>
      <a:lt1>
        <a:srgbClr val="FFC828"/>
      </a:lt1>
      <a:dk2>
        <a:srgbClr val="00508C"/>
      </a:dk2>
      <a:lt2>
        <a:srgbClr val="7D878C"/>
      </a:lt2>
      <a:accent1>
        <a:srgbClr val="F06E05"/>
      </a:accent1>
      <a:accent2>
        <a:srgbClr val="649632"/>
      </a:accent2>
      <a:accent3>
        <a:srgbClr val="692864"/>
      </a:accent3>
      <a:accent4>
        <a:srgbClr val="000000"/>
      </a:accent4>
      <a:accent5>
        <a:srgbClr val="000000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zoomScale="90" zoomScaleNormal="90" workbookViewId="0">
      <selection activeCell="D20" sqref="D20"/>
    </sheetView>
  </sheetViews>
  <sheetFormatPr baseColWidth="10" defaultColWidth="8.7265625" defaultRowHeight="14.5" x14ac:dyDescent="0.35"/>
  <cols>
    <col min="2" max="3" width="30.6328125" customWidth="1"/>
    <col min="4" max="4" width="33.453125" customWidth="1"/>
    <col min="5" max="5" width="36.1796875" bestFit="1" customWidth="1"/>
    <col min="6" max="6" width="10.7265625" customWidth="1"/>
  </cols>
  <sheetData>
    <row r="2" spans="2:6" x14ac:dyDescent="0.35">
      <c r="B2" s="2"/>
      <c r="C2" s="2"/>
      <c r="D2" s="2"/>
      <c r="E2" s="2"/>
      <c r="F2" s="1"/>
    </row>
    <row r="3" spans="2:6" ht="15" customHeight="1" x14ac:dyDescent="0.35">
      <c r="B3" s="58" t="s">
        <v>179</v>
      </c>
      <c r="C3" s="58"/>
      <c r="D3" s="58"/>
      <c r="E3" s="58"/>
      <c r="F3" s="1"/>
    </row>
    <row r="4" spans="2:6" ht="49" customHeight="1" x14ac:dyDescent="0.35">
      <c r="B4" s="31" t="s">
        <v>180</v>
      </c>
      <c r="C4" s="31" t="s">
        <v>182</v>
      </c>
      <c r="D4" s="31" t="s">
        <v>183</v>
      </c>
      <c r="E4" s="31" t="s">
        <v>4</v>
      </c>
    </row>
    <row r="5" spans="2:6" ht="14.5" customHeight="1" x14ac:dyDescent="0.35">
      <c r="B5" s="32" t="s">
        <v>184</v>
      </c>
      <c r="C5" s="32" t="s">
        <v>0</v>
      </c>
      <c r="D5" s="33" t="s">
        <v>198</v>
      </c>
      <c r="E5" s="33" t="s">
        <v>188</v>
      </c>
    </row>
    <row r="6" spans="2:6" ht="14.5" customHeight="1" x14ac:dyDescent="0.35">
      <c r="B6" s="32" t="s">
        <v>185</v>
      </c>
      <c r="C6" s="32" t="s">
        <v>0</v>
      </c>
      <c r="D6" s="33" t="s">
        <v>197</v>
      </c>
      <c r="E6" s="33" t="s">
        <v>188</v>
      </c>
      <c r="F6" s="5"/>
    </row>
    <row r="7" spans="2:6" ht="14.5" customHeight="1" x14ac:dyDescent="0.35">
      <c r="B7" s="32" t="s">
        <v>186</v>
      </c>
      <c r="C7" s="32" t="s">
        <v>189</v>
      </c>
      <c r="D7" s="33" t="s">
        <v>195</v>
      </c>
      <c r="E7" s="33" t="s">
        <v>191</v>
      </c>
    </row>
    <row r="8" spans="2:6" ht="43.5" x14ac:dyDescent="0.35">
      <c r="B8" s="32" t="s">
        <v>181</v>
      </c>
      <c r="C8" s="32" t="s">
        <v>193</v>
      </c>
      <c r="D8" s="33" t="s">
        <v>194</v>
      </c>
      <c r="E8" s="33" t="s">
        <v>192</v>
      </c>
    </row>
    <row r="9" spans="2:6" ht="29" x14ac:dyDescent="0.35">
      <c r="B9" s="32" t="s">
        <v>187</v>
      </c>
      <c r="C9" s="32" t="s">
        <v>190</v>
      </c>
      <c r="D9" s="33" t="s">
        <v>196</v>
      </c>
      <c r="E9" s="33" t="s">
        <v>191</v>
      </c>
    </row>
    <row r="10" spans="2:6" x14ac:dyDescent="0.35">
      <c r="B10" s="3"/>
    </row>
    <row r="12" spans="2:6" x14ac:dyDescent="0.35">
      <c r="B12" s="58" t="s">
        <v>240</v>
      </c>
      <c r="C12" s="58"/>
      <c r="D12" s="58"/>
    </row>
    <row r="13" spans="2:6" ht="58" x14ac:dyDescent="0.35">
      <c r="B13" s="46" t="s">
        <v>242</v>
      </c>
      <c r="C13" s="46" t="s">
        <v>244</v>
      </c>
      <c r="D13" s="46" t="s">
        <v>100</v>
      </c>
    </row>
    <row r="14" spans="2:6" x14ac:dyDescent="0.35">
      <c r="B14" s="10">
        <v>1.56E+20</v>
      </c>
      <c r="C14" s="51">
        <v>0.56000000000000005</v>
      </c>
      <c r="D14" s="52">
        <f>C14*B14</f>
        <v>8.7360000000000016E+19</v>
      </c>
    </row>
    <row r="15" spans="2:6" x14ac:dyDescent="0.35">
      <c r="B15" s="50" t="s">
        <v>161</v>
      </c>
      <c r="C15" s="48" t="s">
        <v>176</v>
      </c>
      <c r="D15" s="53" t="s">
        <v>0</v>
      </c>
      <c r="F15" s="27"/>
    </row>
    <row r="16" spans="2:6" ht="29" x14ac:dyDescent="0.35">
      <c r="B16" s="49" t="s">
        <v>241</v>
      </c>
      <c r="C16" s="47" t="s">
        <v>245</v>
      </c>
      <c r="D16" s="49" t="s">
        <v>246</v>
      </c>
    </row>
  </sheetData>
  <mergeCells count="2">
    <mergeCell ref="B3:E3"/>
    <mergeCell ref="B12:D12"/>
  </mergeCells>
  <conditionalFormatting sqref="B5:E9">
    <cfRule type="expression" dxfId="50" priority="3">
      <formula>MOD(ROW(),2)</formula>
    </cfRule>
  </conditionalFormatting>
  <conditionalFormatting sqref="B14:D16">
    <cfRule type="expression" dxfId="49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B2:Q76"/>
  <sheetViews>
    <sheetView tabSelected="1" topLeftCell="A61" zoomScale="90" zoomScaleNormal="90" workbookViewId="0">
      <selection activeCell="C71" sqref="C71"/>
    </sheetView>
  </sheetViews>
  <sheetFormatPr baseColWidth="10" defaultColWidth="8.7265625" defaultRowHeight="14.5" x14ac:dyDescent="0.35"/>
  <cols>
    <col min="2" max="2" width="11.6328125" customWidth="1"/>
    <col min="3" max="3" width="23.6328125" customWidth="1"/>
    <col min="4" max="4" width="19.7265625" customWidth="1"/>
    <col min="5" max="6" width="18.7265625" customWidth="1"/>
    <col min="7" max="7" width="17.81640625" customWidth="1"/>
    <col min="8" max="8" width="57.7265625" customWidth="1"/>
    <col min="9" max="9" width="6.453125" customWidth="1"/>
    <col min="10" max="17" width="15.6328125" customWidth="1"/>
  </cols>
  <sheetData>
    <row r="2" spans="2:17" ht="20" customHeight="1" x14ac:dyDescent="0.35">
      <c r="B2" s="58" t="s">
        <v>151</v>
      </c>
      <c r="C2" s="58"/>
    </row>
    <row r="3" spans="2:17" x14ac:dyDescent="0.35">
      <c r="B3" s="2"/>
      <c r="C3" s="2"/>
      <c r="D3" s="2"/>
      <c r="E3" s="2"/>
      <c r="F3" s="2"/>
      <c r="G3" s="2"/>
      <c r="H3" s="2"/>
      <c r="I3" s="1"/>
    </row>
    <row r="4" spans="2:17" ht="15" customHeight="1" x14ac:dyDescent="0.35">
      <c r="B4" s="58" t="s">
        <v>2</v>
      </c>
      <c r="C4" s="58"/>
      <c r="D4" s="58"/>
      <c r="E4" s="58"/>
      <c r="F4" s="58"/>
      <c r="G4" s="58"/>
      <c r="H4" s="58"/>
      <c r="I4" s="1"/>
      <c r="J4" s="58" t="s">
        <v>18</v>
      </c>
      <c r="K4" s="58"/>
      <c r="L4" s="58"/>
      <c r="M4" s="58"/>
      <c r="N4" s="58"/>
      <c r="O4" s="58"/>
      <c r="P4" s="58"/>
      <c r="Q4" s="58"/>
    </row>
    <row r="5" spans="2:17" ht="49" customHeight="1" x14ac:dyDescent="0.35">
      <c r="B5" s="6" t="s">
        <v>3</v>
      </c>
      <c r="C5" s="6" t="s">
        <v>1</v>
      </c>
      <c r="D5" s="6" t="s">
        <v>84</v>
      </c>
      <c r="E5" s="6" t="s">
        <v>127</v>
      </c>
      <c r="F5" s="6" t="s">
        <v>6</v>
      </c>
      <c r="G5" s="60" t="s">
        <v>103</v>
      </c>
      <c r="H5" s="60"/>
      <c r="J5" s="6" t="s">
        <v>11</v>
      </c>
      <c r="K5" s="6" t="s">
        <v>8</v>
      </c>
      <c r="L5" s="6" t="s">
        <v>7</v>
      </c>
      <c r="M5" s="6" t="s">
        <v>9</v>
      </c>
      <c r="N5" s="6" t="s">
        <v>10</v>
      </c>
      <c r="O5" s="6" t="s">
        <v>25</v>
      </c>
      <c r="P5" s="6" t="s">
        <v>27</v>
      </c>
      <c r="Q5" s="6" t="s">
        <v>26</v>
      </c>
    </row>
    <row r="6" spans="2:17" x14ac:dyDescent="0.35">
      <c r="B6" s="4">
        <v>8</v>
      </c>
      <c r="C6" s="4" t="s">
        <v>75</v>
      </c>
      <c r="D6" s="10">
        <f>AVERAGE(K6:K11)*1000000000</f>
        <v>3013000000</v>
      </c>
      <c r="E6" s="4">
        <f>10*60+16</f>
        <v>616</v>
      </c>
      <c r="F6" s="4">
        <v>8.49</v>
      </c>
      <c r="G6" s="61" t="s">
        <v>19</v>
      </c>
      <c r="H6" s="61"/>
      <c r="J6" s="9" t="s">
        <v>17</v>
      </c>
      <c r="K6" s="4">
        <v>2.8170000000000002</v>
      </c>
      <c r="L6" s="4">
        <v>2.8839999999999999</v>
      </c>
      <c r="M6" s="4">
        <v>3.4470000000000001</v>
      </c>
      <c r="N6" s="4">
        <v>1.335</v>
      </c>
      <c r="O6" s="4">
        <v>0.41699999999999998</v>
      </c>
      <c r="P6" s="4">
        <v>0.51600000000000001</v>
      </c>
      <c r="Q6" s="4">
        <v>0.36</v>
      </c>
    </row>
    <row r="7" spans="2:17" x14ac:dyDescent="0.35">
      <c r="B7" s="4">
        <v>9</v>
      </c>
      <c r="C7" s="4" t="s">
        <v>76</v>
      </c>
      <c r="D7" s="10">
        <f>AVERAGE(L6:L11)*1000000000</f>
        <v>2917333333.333333</v>
      </c>
      <c r="E7" s="4">
        <f>12*60+34</f>
        <v>754</v>
      </c>
      <c r="F7" s="4">
        <v>10.3</v>
      </c>
      <c r="G7" s="61" t="s">
        <v>20</v>
      </c>
      <c r="H7" s="61"/>
      <c r="I7" s="5"/>
      <c r="J7" s="9" t="s">
        <v>12</v>
      </c>
      <c r="K7" s="4">
        <v>2.9790000000000001</v>
      </c>
      <c r="L7" s="4">
        <v>2.9169999999999998</v>
      </c>
      <c r="M7" s="4">
        <v>3.4119999999999999</v>
      </c>
      <c r="N7" s="4">
        <v>1.256</v>
      </c>
      <c r="O7" s="4">
        <v>0.439</v>
      </c>
      <c r="P7" s="4">
        <v>0.51100000000000001</v>
      </c>
      <c r="Q7" s="4">
        <v>0.38</v>
      </c>
    </row>
    <row r="8" spans="2:17" x14ac:dyDescent="0.35">
      <c r="B8" s="4">
        <v>13</v>
      </c>
      <c r="C8" s="4" t="s">
        <v>77</v>
      </c>
      <c r="D8" s="10">
        <f>AVERAGE(M6:M11)*1000000000</f>
        <v>3156166666.666667</v>
      </c>
      <c r="E8" s="4">
        <f>14*60+40</f>
        <v>880</v>
      </c>
      <c r="F8" s="4">
        <v>10.37</v>
      </c>
      <c r="G8" s="61" t="s">
        <v>21</v>
      </c>
      <c r="H8" s="61"/>
      <c r="J8" s="9" t="s">
        <v>13</v>
      </c>
      <c r="K8" s="4">
        <v>2.9529999999999998</v>
      </c>
      <c r="L8" s="4">
        <v>2.847</v>
      </c>
      <c r="M8" s="4">
        <v>3.4089999999999998</v>
      </c>
      <c r="N8" s="4">
        <v>1.1919999999999999</v>
      </c>
      <c r="O8" s="4">
        <v>0.44500000000000001</v>
      </c>
      <c r="P8" s="4">
        <v>0.49299999999999999</v>
      </c>
      <c r="Q8" s="4">
        <v>0.39800000000000002</v>
      </c>
    </row>
    <row r="9" spans="2:17" x14ac:dyDescent="0.35">
      <c r="B9" s="4">
        <v>18</v>
      </c>
      <c r="C9" s="4" t="s">
        <v>78</v>
      </c>
      <c r="D9" s="10">
        <f>AVERAGE(N6:N11)*1000000000</f>
        <v>1240000000</v>
      </c>
      <c r="E9" s="4">
        <f>11*60+49</f>
        <v>709</v>
      </c>
      <c r="F9" s="4">
        <v>11.71</v>
      </c>
      <c r="G9" s="61" t="s">
        <v>22</v>
      </c>
      <c r="H9" s="61"/>
      <c r="J9" s="9" t="s">
        <v>14</v>
      </c>
      <c r="K9" s="4">
        <v>3.0579999999999998</v>
      </c>
      <c r="L9" s="4">
        <v>3.101</v>
      </c>
      <c r="M9" s="4">
        <v>3.2650000000000001</v>
      </c>
      <c r="N9" s="4">
        <v>1.228</v>
      </c>
      <c r="O9" s="4">
        <v>0.42399999999999999</v>
      </c>
      <c r="P9" s="4">
        <v>0.48199999999999998</v>
      </c>
      <c r="Q9" s="4">
        <v>0.434</v>
      </c>
    </row>
    <row r="10" spans="2:17" x14ac:dyDescent="0.35">
      <c r="B10" s="4">
        <v>60</v>
      </c>
      <c r="C10" s="4" t="s">
        <v>79</v>
      </c>
      <c r="D10" s="10">
        <f>AVERAGE(O6:O11)*1000000000</f>
        <v>425166666.66666663</v>
      </c>
      <c r="E10" s="4">
        <f>11*60+17</f>
        <v>677</v>
      </c>
      <c r="F10" s="4">
        <v>10.34</v>
      </c>
      <c r="G10" s="61" t="s">
        <v>93</v>
      </c>
      <c r="H10" s="61"/>
      <c r="J10" s="9" t="s">
        <v>15</v>
      </c>
      <c r="K10" s="4">
        <v>3.036</v>
      </c>
      <c r="L10" s="4">
        <v>2.794</v>
      </c>
      <c r="M10" s="4">
        <v>2.7130000000000001</v>
      </c>
      <c r="N10" s="4">
        <v>1.206</v>
      </c>
      <c r="O10" s="4">
        <v>0.40699999999999997</v>
      </c>
      <c r="P10" s="4">
        <v>0.46100000000000002</v>
      </c>
      <c r="Q10" s="4">
        <v>0.41899999999999998</v>
      </c>
    </row>
    <row r="11" spans="2:17" ht="15" customHeight="1" x14ac:dyDescent="0.35">
      <c r="B11" s="4">
        <v>68</v>
      </c>
      <c r="C11" s="4" t="s">
        <v>80</v>
      </c>
      <c r="D11" s="10">
        <f>AVERAGE(P6:P11)*1000000000</f>
        <v>486833333.33333331</v>
      </c>
      <c r="E11" s="4">
        <f>6*60+2</f>
        <v>362</v>
      </c>
      <c r="F11" s="4">
        <v>5.66</v>
      </c>
      <c r="G11" s="61" t="s">
        <v>94</v>
      </c>
      <c r="H11" s="61"/>
      <c r="J11" s="9" t="s">
        <v>16</v>
      </c>
      <c r="K11" s="4">
        <v>3.2349999999999999</v>
      </c>
      <c r="L11" s="4">
        <v>2.9609999999999999</v>
      </c>
      <c r="M11" s="4">
        <v>2.6909999999999998</v>
      </c>
      <c r="N11" s="4">
        <v>1.2230000000000001</v>
      </c>
      <c r="O11" s="4">
        <v>0.41899999999999998</v>
      </c>
      <c r="P11" s="4">
        <v>0.45800000000000002</v>
      </c>
      <c r="Q11" s="4">
        <v>0.42599999999999999</v>
      </c>
    </row>
    <row r="12" spans="2:17" ht="15" customHeight="1" x14ac:dyDescent="0.35">
      <c r="B12" s="4">
        <v>80</v>
      </c>
      <c r="C12" s="4" t="s">
        <v>81</v>
      </c>
      <c r="D12" s="10">
        <f>AVERAGE(Q6:Q11)*1000000000</f>
        <v>402833333.33333331</v>
      </c>
      <c r="E12" s="4">
        <f>7*60+15</f>
        <v>435</v>
      </c>
      <c r="F12" s="4">
        <v>5.52</v>
      </c>
      <c r="G12" s="61" t="s">
        <v>95</v>
      </c>
      <c r="H12" s="61"/>
    </row>
    <row r="13" spans="2:17" ht="58" x14ac:dyDescent="0.35">
      <c r="B13" s="4" t="s">
        <v>4</v>
      </c>
      <c r="C13" s="7" t="s">
        <v>24</v>
      </c>
      <c r="D13" s="8" t="s">
        <v>5</v>
      </c>
      <c r="E13" s="4" t="s">
        <v>0</v>
      </c>
      <c r="F13" s="4" t="s">
        <v>0</v>
      </c>
      <c r="G13" s="4"/>
      <c r="H13" s="4" t="s">
        <v>0</v>
      </c>
    </row>
    <row r="14" spans="2:17" x14ac:dyDescent="0.35">
      <c r="B14" s="3"/>
    </row>
    <row r="15" spans="2:17" ht="14.5" customHeight="1" x14ac:dyDescent="0.35">
      <c r="B15" s="58" t="s">
        <v>2</v>
      </c>
      <c r="C15" s="58"/>
      <c r="D15" s="58"/>
      <c r="E15" s="58"/>
    </row>
    <row r="16" spans="2:17" ht="29" x14ac:dyDescent="0.35">
      <c r="B16" s="6" t="s">
        <v>3</v>
      </c>
      <c r="C16" s="6" t="s">
        <v>1</v>
      </c>
      <c r="D16" s="6" t="s">
        <v>84</v>
      </c>
      <c r="E16" s="6" t="s">
        <v>65</v>
      </c>
      <c r="G16" s="27"/>
    </row>
    <row r="17" spans="2:5" x14ac:dyDescent="0.35">
      <c r="B17" s="4">
        <v>102</v>
      </c>
      <c r="C17" s="4" t="s">
        <v>29</v>
      </c>
      <c r="D17" s="10">
        <v>267060000</v>
      </c>
      <c r="E17" s="10" t="s">
        <v>63</v>
      </c>
    </row>
    <row r="18" spans="2:5" x14ac:dyDescent="0.35">
      <c r="B18" s="11"/>
      <c r="C18" s="11" t="s">
        <v>67</v>
      </c>
      <c r="D18" s="12"/>
      <c r="E18" s="12" t="s">
        <v>64</v>
      </c>
    </row>
    <row r="19" spans="2:5" x14ac:dyDescent="0.35">
      <c r="B19" s="11"/>
      <c r="C19" s="11" t="s">
        <v>68</v>
      </c>
      <c r="D19" s="12"/>
      <c r="E19" s="12" t="s">
        <v>64</v>
      </c>
    </row>
    <row r="20" spans="2:5" ht="14" customHeight="1" x14ac:dyDescent="0.35">
      <c r="B20" s="11"/>
      <c r="C20" s="11" t="s">
        <v>69</v>
      </c>
      <c r="D20" s="12"/>
      <c r="E20" s="12" t="s">
        <v>64</v>
      </c>
    </row>
    <row r="21" spans="2:5" x14ac:dyDescent="0.35">
      <c r="B21" s="4">
        <v>146</v>
      </c>
      <c r="C21" s="4" t="s">
        <v>30</v>
      </c>
      <c r="D21" s="10">
        <v>411000000</v>
      </c>
      <c r="E21" s="10" t="s">
        <v>63</v>
      </c>
    </row>
    <row r="22" spans="2:5" x14ac:dyDescent="0.35">
      <c r="B22" s="11"/>
      <c r="C22" s="11" t="s">
        <v>31</v>
      </c>
      <c r="D22" s="12"/>
      <c r="E22" s="12" t="s">
        <v>64</v>
      </c>
    </row>
    <row r="23" spans="2:5" x14ac:dyDescent="0.35">
      <c r="B23" s="4">
        <v>168</v>
      </c>
      <c r="C23" s="4" t="s">
        <v>32</v>
      </c>
      <c r="D23" s="10">
        <v>152000000</v>
      </c>
      <c r="E23" s="10" t="s">
        <v>63</v>
      </c>
    </row>
    <row r="24" spans="2:5" x14ac:dyDescent="0.35">
      <c r="B24" s="11"/>
      <c r="C24" s="11" t="s">
        <v>33</v>
      </c>
      <c r="D24" s="12"/>
      <c r="E24" s="12" t="s">
        <v>64</v>
      </c>
    </row>
    <row r="25" spans="2:5" x14ac:dyDescent="0.35">
      <c r="B25" s="11"/>
      <c r="C25" s="11" t="s">
        <v>34</v>
      </c>
      <c r="D25" s="12"/>
      <c r="E25" s="12" t="s">
        <v>64</v>
      </c>
    </row>
    <row r="26" spans="2:5" x14ac:dyDescent="0.35">
      <c r="B26" s="4">
        <v>228</v>
      </c>
      <c r="C26" s="4" t="s">
        <v>35</v>
      </c>
      <c r="D26" s="10">
        <v>160000000</v>
      </c>
      <c r="E26" s="10" t="s">
        <v>63</v>
      </c>
    </row>
    <row r="27" spans="2:5" x14ac:dyDescent="0.35">
      <c r="B27" s="4">
        <v>238</v>
      </c>
      <c r="C27" s="4" t="s">
        <v>36</v>
      </c>
      <c r="D27" s="10">
        <v>137000000</v>
      </c>
      <c r="E27" s="10" t="s">
        <v>63</v>
      </c>
    </row>
    <row r="28" spans="2:5" x14ac:dyDescent="0.35">
      <c r="B28" s="4">
        <v>240</v>
      </c>
      <c r="C28" s="4" t="s">
        <v>37</v>
      </c>
      <c r="D28" s="10">
        <v>140000000</v>
      </c>
      <c r="E28" s="10" t="s">
        <v>63</v>
      </c>
    </row>
    <row r="29" spans="2:5" x14ac:dyDescent="0.35">
      <c r="B29" s="4">
        <v>254</v>
      </c>
      <c r="C29" s="4" t="s">
        <v>38</v>
      </c>
      <c r="D29" s="10">
        <v>100000000</v>
      </c>
      <c r="E29" s="10" t="s">
        <v>63</v>
      </c>
    </row>
    <row r="30" spans="2:5" x14ac:dyDescent="0.35">
      <c r="B30" s="11"/>
      <c r="C30" s="11" t="s">
        <v>70</v>
      </c>
      <c r="D30" s="12"/>
      <c r="E30" s="12" t="s">
        <v>64</v>
      </c>
    </row>
    <row r="31" spans="2:5" x14ac:dyDescent="0.35">
      <c r="B31" s="4">
        <v>267</v>
      </c>
      <c r="C31" s="4" t="s">
        <v>39</v>
      </c>
      <c r="D31" s="10">
        <v>99000000</v>
      </c>
      <c r="E31" s="10" t="s">
        <v>63</v>
      </c>
    </row>
    <row r="32" spans="2:5" x14ac:dyDescent="0.35">
      <c r="B32" s="4">
        <v>276</v>
      </c>
      <c r="C32" s="4" t="s">
        <v>40</v>
      </c>
      <c r="D32" s="10">
        <v>142000000</v>
      </c>
      <c r="E32" s="10" t="s">
        <v>63</v>
      </c>
    </row>
    <row r="33" spans="2:5" x14ac:dyDescent="0.35">
      <c r="B33" s="4">
        <v>286</v>
      </c>
      <c r="C33" s="4" t="s">
        <v>41</v>
      </c>
      <c r="D33" s="10">
        <v>90000000</v>
      </c>
      <c r="E33" s="10" t="s">
        <v>63</v>
      </c>
    </row>
    <row r="34" spans="2:5" x14ac:dyDescent="0.35">
      <c r="B34" s="11"/>
      <c r="C34" s="11" t="s">
        <v>42</v>
      </c>
      <c r="D34" s="12"/>
      <c r="E34" s="12" t="s">
        <v>64</v>
      </c>
    </row>
    <row r="35" spans="2:5" x14ac:dyDescent="0.35">
      <c r="B35" s="4">
        <v>292</v>
      </c>
      <c r="C35" s="4" t="s">
        <v>43</v>
      </c>
      <c r="D35" s="10">
        <v>130000000</v>
      </c>
      <c r="E35" s="10" t="s">
        <v>63</v>
      </c>
    </row>
    <row r="36" spans="2:5" x14ac:dyDescent="0.35">
      <c r="B36" s="11"/>
      <c r="C36" s="11" t="s">
        <v>44</v>
      </c>
      <c r="D36" s="12"/>
      <c r="E36" s="12" t="s">
        <v>64</v>
      </c>
    </row>
    <row r="37" spans="2:5" x14ac:dyDescent="0.35">
      <c r="B37" s="4">
        <v>308</v>
      </c>
      <c r="C37" s="4" t="s">
        <v>45</v>
      </c>
      <c r="D37" s="10">
        <v>88000000</v>
      </c>
      <c r="E37" s="10" t="s">
        <v>63</v>
      </c>
    </row>
    <row r="38" spans="2:5" x14ac:dyDescent="0.35">
      <c r="B38" s="11"/>
      <c r="C38" s="11" t="s">
        <v>46</v>
      </c>
      <c r="D38" s="12"/>
      <c r="E38" s="12" t="s">
        <v>64</v>
      </c>
    </row>
    <row r="39" spans="2:5" x14ac:dyDescent="0.35">
      <c r="B39" s="11"/>
      <c r="C39" s="11" t="s">
        <v>71</v>
      </c>
      <c r="D39" s="12"/>
      <c r="E39" s="12" t="s">
        <v>64</v>
      </c>
    </row>
    <row r="40" spans="2:5" x14ac:dyDescent="0.35">
      <c r="B40" s="11"/>
      <c r="C40" s="11" t="s">
        <v>72</v>
      </c>
      <c r="D40" s="12"/>
      <c r="E40" s="12" t="s">
        <v>64</v>
      </c>
    </row>
    <row r="41" spans="2:5" x14ac:dyDescent="0.35">
      <c r="B41" s="4">
        <v>360</v>
      </c>
      <c r="C41" s="4" t="s">
        <v>47</v>
      </c>
      <c r="D41" s="10">
        <v>78000000</v>
      </c>
      <c r="E41" s="10" t="s">
        <v>63</v>
      </c>
    </row>
    <row r="42" spans="2:5" x14ac:dyDescent="0.35">
      <c r="B42" s="4">
        <v>364</v>
      </c>
      <c r="C42" s="4" t="s">
        <v>48</v>
      </c>
      <c r="D42" s="10">
        <v>82000000</v>
      </c>
      <c r="E42" s="10" t="s">
        <v>63</v>
      </c>
    </row>
    <row r="43" spans="2:5" x14ac:dyDescent="0.35">
      <c r="B43" s="11"/>
      <c r="C43" s="11" t="s">
        <v>73</v>
      </c>
      <c r="D43" s="12"/>
      <c r="E43" s="12" t="s">
        <v>64</v>
      </c>
    </row>
    <row r="44" spans="2:5" x14ac:dyDescent="0.35">
      <c r="B44" s="4">
        <v>372</v>
      </c>
      <c r="C44" s="4" t="s">
        <v>49</v>
      </c>
      <c r="D44" s="10">
        <v>115000000</v>
      </c>
      <c r="E44" s="10" t="s">
        <v>63</v>
      </c>
    </row>
    <row r="45" spans="2:5" x14ac:dyDescent="0.35">
      <c r="B45" s="4">
        <v>379</v>
      </c>
      <c r="C45" s="4" t="s">
        <v>50</v>
      </c>
      <c r="D45" s="10">
        <v>116000000</v>
      </c>
      <c r="E45" s="10" t="s">
        <v>63</v>
      </c>
    </row>
    <row r="46" spans="2:5" x14ac:dyDescent="0.35">
      <c r="B46" s="4">
        <v>384</v>
      </c>
      <c r="C46" s="4" t="s">
        <v>51</v>
      </c>
      <c r="D46" s="10">
        <v>8100000</v>
      </c>
      <c r="E46" s="10" t="s">
        <v>63</v>
      </c>
    </row>
    <row r="47" spans="2:5" x14ac:dyDescent="0.35">
      <c r="B47" s="4">
        <v>389</v>
      </c>
      <c r="C47" s="4" t="s">
        <v>52</v>
      </c>
      <c r="D47" s="10">
        <v>115000000</v>
      </c>
      <c r="E47" s="10" t="s">
        <v>63</v>
      </c>
    </row>
    <row r="48" spans="2:5" x14ac:dyDescent="0.35">
      <c r="B48" s="14"/>
      <c r="C48" s="12" t="s">
        <v>53</v>
      </c>
      <c r="D48" s="12"/>
      <c r="E48" s="12" t="s">
        <v>64</v>
      </c>
    </row>
    <row r="49" spans="2:7" x14ac:dyDescent="0.35">
      <c r="B49" s="4">
        <v>438</v>
      </c>
      <c r="C49" s="4" t="s">
        <v>54</v>
      </c>
      <c r="D49" s="10">
        <v>70000000</v>
      </c>
      <c r="E49" s="10" t="s">
        <v>63</v>
      </c>
    </row>
    <row r="50" spans="2:7" x14ac:dyDescent="0.35">
      <c r="B50" s="4">
        <v>466</v>
      </c>
      <c r="C50" s="4" t="s">
        <v>55</v>
      </c>
      <c r="D50" s="10">
        <v>73000000</v>
      </c>
      <c r="E50" s="10" t="s">
        <v>63</v>
      </c>
    </row>
    <row r="51" spans="2:7" x14ac:dyDescent="0.35">
      <c r="B51" s="4">
        <v>477</v>
      </c>
      <c r="C51" s="4" t="s">
        <v>56</v>
      </c>
      <c r="D51" s="10">
        <v>92000000</v>
      </c>
      <c r="E51" s="10" t="s">
        <v>63</v>
      </c>
    </row>
    <row r="52" spans="2:7" x14ac:dyDescent="0.35">
      <c r="B52" s="4">
        <v>497</v>
      </c>
      <c r="C52" s="4" t="s">
        <v>57</v>
      </c>
      <c r="D52" s="10">
        <v>125000000</v>
      </c>
      <c r="E52" s="10" t="s">
        <v>63</v>
      </c>
    </row>
    <row r="53" spans="2:7" x14ac:dyDescent="0.35">
      <c r="B53" s="4">
        <v>507</v>
      </c>
      <c r="C53" s="4" t="s">
        <v>58</v>
      </c>
      <c r="D53" s="10">
        <v>94000000</v>
      </c>
      <c r="E53" s="10" t="s">
        <v>63</v>
      </c>
    </row>
    <row r="54" spans="2:7" x14ac:dyDescent="0.35">
      <c r="B54" s="4">
        <v>508</v>
      </c>
      <c r="C54" s="4" t="s">
        <v>59</v>
      </c>
      <c r="D54" s="10">
        <v>63000000</v>
      </c>
      <c r="E54" s="10" t="s">
        <v>63</v>
      </c>
    </row>
    <row r="55" spans="2:7" x14ac:dyDescent="0.35">
      <c r="B55" s="4">
        <v>516</v>
      </c>
      <c r="C55" s="4" t="s">
        <v>60</v>
      </c>
      <c r="D55" s="10">
        <v>78000000</v>
      </c>
      <c r="E55" s="10" t="s">
        <v>63</v>
      </c>
    </row>
    <row r="56" spans="2:7" x14ac:dyDescent="0.35">
      <c r="B56" s="4">
        <v>518</v>
      </c>
      <c r="C56" s="4" t="s">
        <v>61</v>
      </c>
      <c r="D56" s="10">
        <v>59000000</v>
      </c>
      <c r="E56" s="10" t="s">
        <v>63</v>
      </c>
    </row>
    <row r="57" spans="2:7" x14ac:dyDescent="0.35">
      <c r="B57" s="4">
        <v>540</v>
      </c>
      <c r="C57" s="4" t="s">
        <v>62</v>
      </c>
      <c r="D57" s="10">
        <v>60000000</v>
      </c>
      <c r="E57" s="10" t="s">
        <v>63</v>
      </c>
    </row>
    <row r="58" spans="2:7" ht="43.5" x14ac:dyDescent="0.35">
      <c r="B58" s="4" t="s">
        <v>4</v>
      </c>
      <c r="C58" s="7" t="s">
        <v>28</v>
      </c>
      <c r="D58" s="8" t="s">
        <v>87</v>
      </c>
      <c r="E58" s="13" t="s">
        <v>66</v>
      </c>
    </row>
    <row r="59" spans="2:7" ht="14.5" customHeight="1" x14ac:dyDescent="0.35">
      <c r="B59" s="4" t="s">
        <v>83</v>
      </c>
      <c r="C59" s="61" t="s">
        <v>101</v>
      </c>
      <c r="D59" s="61"/>
      <c r="E59" s="61"/>
    </row>
    <row r="62" spans="2:7" ht="14.5" customHeight="1" x14ac:dyDescent="0.35">
      <c r="C62" s="58" t="s">
        <v>82</v>
      </c>
      <c r="D62" s="58"/>
      <c r="E62" s="58"/>
    </row>
    <row r="63" spans="2:7" ht="43.5" x14ac:dyDescent="0.35">
      <c r="C63" s="6" t="s">
        <v>85</v>
      </c>
      <c r="D63" s="6" t="s">
        <v>88</v>
      </c>
      <c r="E63" s="6" t="s">
        <v>89</v>
      </c>
    </row>
    <row r="64" spans="2:7" ht="15" thickBot="1" x14ac:dyDescent="0.4">
      <c r="C64" s="10">
        <f>33500000000</f>
        <v>33500000000</v>
      </c>
      <c r="D64" s="10">
        <v>4.403E+18</v>
      </c>
      <c r="E64" s="10">
        <f>D64/C64</f>
        <v>131432835.82089552</v>
      </c>
      <c r="G64" s="27"/>
    </row>
    <row r="65" spans="2:7" ht="44" thickTop="1" x14ac:dyDescent="0.35">
      <c r="B65" s="4" t="s">
        <v>4</v>
      </c>
      <c r="C65" s="15" t="s">
        <v>90</v>
      </c>
      <c r="D65" s="15" t="s">
        <v>86</v>
      </c>
      <c r="E65" s="15" t="s">
        <v>91</v>
      </c>
    </row>
    <row r="66" spans="2:7" x14ac:dyDescent="0.35">
      <c r="B66" s="4" t="s">
        <v>83</v>
      </c>
      <c r="C66" s="59" t="s">
        <v>162</v>
      </c>
      <c r="D66" s="59"/>
      <c r="E66" s="59"/>
    </row>
    <row r="69" spans="2:7" ht="14.5" customHeight="1" x14ac:dyDescent="0.35">
      <c r="C69" s="58" t="s">
        <v>92</v>
      </c>
      <c r="D69" s="58"/>
      <c r="E69" s="58"/>
      <c r="F69" s="58"/>
      <c r="G69" s="58"/>
    </row>
    <row r="70" spans="2:7" ht="58" x14ac:dyDescent="0.35">
      <c r="C70" s="6" t="s">
        <v>84</v>
      </c>
      <c r="D70" s="6" t="s">
        <v>89</v>
      </c>
      <c r="E70" s="6" t="s">
        <v>98</v>
      </c>
      <c r="F70" s="6" t="s">
        <v>100</v>
      </c>
      <c r="G70" s="6" t="s">
        <v>96</v>
      </c>
    </row>
    <row r="71" spans="2:7" ht="15" thickBot="1" x14ac:dyDescent="0.4">
      <c r="C71" s="10">
        <f>12*SUM(D6:D12,D17,D21,D23,D26:D29,D31:D33,D35,D37,D41:D42,D44:D47,D49:D57)</f>
        <v>177425920000</v>
      </c>
      <c r="D71" s="10">
        <f>E64</f>
        <v>131432835.82089552</v>
      </c>
      <c r="E71" s="16">
        <f>C71*D71</f>
        <v>2.3319591813731344E+19</v>
      </c>
      <c r="F71" s="16">
        <f>'Video Categories'!D14</f>
        <v>8.7360000000000016E+19</v>
      </c>
      <c r="G71" s="17">
        <f>E71/F71</f>
        <v>0.26693671947952541</v>
      </c>
    </row>
    <row r="72" spans="2:7" ht="44" thickTop="1" x14ac:dyDescent="0.35">
      <c r="B72" s="4" t="s">
        <v>4</v>
      </c>
      <c r="C72" s="15" t="s">
        <v>97</v>
      </c>
      <c r="D72" s="15" t="str">
        <f>E65</f>
        <v>Average data traffic for 1 visit</v>
      </c>
      <c r="E72" s="15" t="s">
        <v>99</v>
      </c>
      <c r="F72" s="15" t="s">
        <v>99</v>
      </c>
      <c r="G72" s="15" t="s">
        <v>142</v>
      </c>
    </row>
    <row r="73" spans="2:7" ht="14.5" customHeight="1" x14ac:dyDescent="0.35">
      <c r="B73" s="4" t="s">
        <v>83</v>
      </c>
      <c r="C73" s="32" t="s">
        <v>222</v>
      </c>
      <c r="D73" s="8" t="s">
        <v>74</v>
      </c>
      <c r="E73" s="8" t="s">
        <v>74</v>
      </c>
      <c r="F73" s="32" t="s">
        <v>161</v>
      </c>
      <c r="G73" s="8" t="s">
        <v>74</v>
      </c>
    </row>
    <row r="76" spans="2:7" x14ac:dyDescent="0.35">
      <c r="G76" s="18"/>
    </row>
  </sheetData>
  <mergeCells count="16">
    <mergeCell ref="B2:C2"/>
    <mergeCell ref="C69:G69"/>
    <mergeCell ref="J4:Q4"/>
    <mergeCell ref="B15:E15"/>
    <mergeCell ref="C66:E66"/>
    <mergeCell ref="C62:E62"/>
    <mergeCell ref="B4:H4"/>
    <mergeCell ref="G5:H5"/>
    <mergeCell ref="G6:H6"/>
    <mergeCell ref="G7:H7"/>
    <mergeCell ref="G8:H8"/>
    <mergeCell ref="G9:H9"/>
    <mergeCell ref="G10:H10"/>
    <mergeCell ref="G11:H11"/>
    <mergeCell ref="G12:H12"/>
    <mergeCell ref="C59:E59"/>
  </mergeCells>
  <conditionalFormatting sqref="B13:H13 B17:E17 B26:E29 B41:E42 B49:D58 B44:E47 B21:E21 B23:E23 B31:E33 B37:E37 B35:E35 B65:C66 B6:G12 B59">
    <cfRule type="expression" dxfId="48" priority="21">
      <formula>MOD(ROW(),2)</formula>
    </cfRule>
  </conditionalFormatting>
  <conditionalFormatting sqref="J6:Q11">
    <cfRule type="expression" dxfId="47" priority="12">
      <formula>MOD(ROW(),2)</formula>
    </cfRule>
  </conditionalFormatting>
  <conditionalFormatting sqref="E49:E58">
    <cfRule type="expression" dxfId="46" priority="10">
      <formula>MOD(ROW(),2)</formula>
    </cfRule>
  </conditionalFormatting>
  <conditionalFormatting sqref="C64:E64">
    <cfRule type="expression" dxfId="45" priority="9">
      <formula>MOD(ROW(),2)</formula>
    </cfRule>
  </conditionalFormatting>
  <conditionalFormatting sqref="B72:C73 B73:E73">
    <cfRule type="expression" dxfId="44" priority="7">
      <formula>MOD(ROW(),2)</formula>
    </cfRule>
  </conditionalFormatting>
  <conditionalFormatting sqref="C71:E71">
    <cfRule type="expression" dxfId="43" priority="6">
      <formula>MOD(ROW(),2)</formula>
    </cfRule>
  </conditionalFormatting>
  <conditionalFormatting sqref="F73:G73">
    <cfRule type="expression" dxfId="42" priority="5">
      <formula>MOD(ROW(),2)</formula>
    </cfRule>
  </conditionalFormatting>
  <conditionalFormatting sqref="F71:G71">
    <cfRule type="expression" dxfId="41" priority="4">
      <formula>MOD(ROW(),2)</formula>
    </cfRule>
  </conditionalFormatting>
  <conditionalFormatting sqref="C59">
    <cfRule type="expression" dxfId="40" priority="3">
      <formula>MOD(ROW(),2)</formula>
    </cfRule>
  </conditionalFormatting>
  <conditionalFormatting sqref="D72:F72">
    <cfRule type="expression" dxfId="39" priority="2">
      <formula>MOD(ROW(),2)</formula>
    </cfRule>
  </conditionalFormatting>
  <conditionalFormatting sqref="G72">
    <cfRule type="expression" dxfId="38" priority="1">
      <formula>MOD(ROW(),2)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39"/>
  <sheetViews>
    <sheetView topLeftCell="A11" zoomScale="90" zoomScaleNormal="90" workbookViewId="0">
      <selection activeCell="E21" sqref="E21"/>
    </sheetView>
  </sheetViews>
  <sheetFormatPr baseColWidth="10" defaultColWidth="8.7265625" defaultRowHeight="14.5" x14ac:dyDescent="0.35"/>
  <cols>
    <col min="2" max="2" width="11.6328125" customWidth="1"/>
    <col min="3" max="4" width="23.6328125" customWidth="1"/>
    <col min="5" max="5" width="18.7265625" customWidth="1"/>
    <col min="6" max="8" width="23.6328125" customWidth="1"/>
    <col min="9" max="9" width="29.90625" customWidth="1"/>
    <col min="10" max="10" width="6.453125" customWidth="1"/>
    <col min="11" max="21" width="15.6328125" customWidth="1"/>
  </cols>
  <sheetData>
    <row r="2" spans="2:21" ht="20" customHeight="1" x14ac:dyDescent="0.35">
      <c r="B2" s="58" t="s">
        <v>153</v>
      </c>
      <c r="C2" s="58"/>
    </row>
    <row r="3" spans="2:21" x14ac:dyDescent="0.35">
      <c r="B3" s="2"/>
      <c r="C3" s="2"/>
      <c r="D3" s="2"/>
      <c r="E3" s="2"/>
      <c r="F3" s="2"/>
      <c r="G3" s="2"/>
      <c r="H3" s="2"/>
      <c r="I3" s="2"/>
      <c r="J3" s="1"/>
    </row>
    <row r="4" spans="2:21" ht="15" customHeight="1" x14ac:dyDescent="0.35">
      <c r="B4" s="58" t="s">
        <v>2</v>
      </c>
      <c r="C4" s="58"/>
      <c r="D4" s="58"/>
      <c r="E4" s="58"/>
      <c r="F4" s="58"/>
      <c r="G4" s="58"/>
      <c r="H4" s="58"/>
      <c r="I4" s="58"/>
      <c r="J4" s="1"/>
      <c r="K4" s="58" t="s">
        <v>113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 ht="49" customHeight="1" x14ac:dyDescent="0.35">
      <c r="B5" s="20" t="s">
        <v>3</v>
      </c>
      <c r="C5" s="20" t="s">
        <v>1</v>
      </c>
      <c r="D5" s="20" t="s">
        <v>84</v>
      </c>
      <c r="E5" s="20" t="s">
        <v>127</v>
      </c>
      <c r="F5" s="20" t="s">
        <v>6</v>
      </c>
      <c r="G5" s="60" t="s">
        <v>103</v>
      </c>
      <c r="H5" s="60"/>
      <c r="I5" s="60"/>
      <c r="K5" s="20" t="s">
        <v>11</v>
      </c>
      <c r="L5" s="20" t="s">
        <v>102</v>
      </c>
      <c r="M5" s="20" t="s">
        <v>104</v>
      </c>
      <c r="N5" s="20" t="s">
        <v>105</v>
      </c>
      <c r="O5" s="20" t="s">
        <v>106</v>
      </c>
      <c r="P5" s="20" t="s">
        <v>107</v>
      </c>
      <c r="Q5" s="20" t="s">
        <v>108</v>
      </c>
      <c r="R5" s="20" t="s">
        <v>110</v>
      </c>
      <c r="S5" s="22" t="s">
        <v>109</v>
      </c>
      <c r="T5" s="22" t="s">
        <v>111</v>
      </c>
      <c r="U5" s="22" t="s">
        <v>112</v>
      </c>
    </row>
    <row r="6" spans="2:21" ht="14.5" customHeight="1" x14ac:dyDescent="0.35">
      <c r="B6" s="4">
        <v>17</v>
      </c>
      <c r="C6" s="4" t="s">
        <v>102</v>
      </c>
      <c r="D6" s="10">
        <f>AVERAGE(L6:L11)*1000000</f>
        <v>1902666666.6666667</v>
      </c>
      <c r="E6" s="4">
        <f>9*60+13</f>
        <v>553</v>
      </c>
      <c r="F6" s="4">
        <v>4.7</v>
      </c>
      <c r="G6" s="61" t="s">
        <v>114</v>
      </c>
      <c r="H6" s="61"/>
      <c r="I6" s="61"/>
      <c r="K6" s="9" t="s">
        <v>17</v>
      </c>
      <c r="L6" s="4">
        <v>1885</v>
      </c>
      <c r="M6" s="4">
        <v>67.599999999999994</v>
      </c>
      <c r="N6" s="4">
        <v>144</v>
      </c>
      <c r="O6" s="4">
        <v>41.2</v>
      </c>
      <c r="P6" s="4">
        <v>1.8</v>
      </c>
      <c r="Q6" s="4">
        <v>12.3</v>
      </c>
      <c r="R6" s="4">
        <v>6.4</v>
      </c>
      <c r="S6" s="4">
        <v>1.65</v>
      </c>
      <c r="T6" s="4">
        <v>4.9000000000000004</v>
      </c>
      <c r="U6" s="4">
        <v>0.76</v>
      </c>
    </row>
    <row r="7" spans="2:21" ht="14.5" customHeight="1" x14ac:dyDescent="0.35">
      <c r="B7" s="4">
        <v>293</v>
      </c>
      <c r="C7" s="4" t="s">
        <v>105</v>
      </c>
      <c r="D7" s="10">
        <f>AVERAGE(N6:N11)*1000000</f>
        <v>140333333.33333334</v>
      </c>
      <c r="E7" s="4">
        <f>16*60+19</f>
        <v>979</v>
      </c>
      <c r="F7" s="4">
        <v>4.3600000000000003</v>
      </c>
      <c r="G7" s="61" t="s">
        <v>116</v>
      </c>
      <c r="H7" s="61"/>
      <c r="I7" s="61"/>
      <c r="J7" s="5"/>
      <c r="K7" s="9" t="s">
        <v>12</v>
      </c>
      <c r="L7" s="4">
        <v>1907</v>
      </c>
      <c r="M7" s="4">
        <v>70.900000000000006</v>
      </c>
      <c r="N7" s="4">
        <v>127</v>
      </c>
      <c r="O7" s="4">
        <v>34.4</v>
      </c>
      <c r="P7" s="4">
        <v>2</v>
      </c>
      <c r="Q7" s="4">
        <v>11</v>
      </c>
      <c r="R7" s="4">
        <v>4.45</v>
      </c>
      <c r="S7" s="4">
        <v>1.85</v>
      </c>
      <c r="T7" s="4">
        <v>5.4</v>
      </c>
      <c r="U7" s="4">
        <v>0.73</v>
      </c>
    </row>
    <row r="8" spans="2:21" ht="14.5" customHeight="1" x14ac:dyDescent="0.35">
      <c r="B8" s="4">
        <v>524</v>
      </c>
      <c r="C8" s="4" t="s">
        <v>104</v>
      </c>
      <c r="D8" s="10">
        <f>AVERAGE(M6:M11)*1000000</f>
        <v>75050000</v>
      </c>
      <c r="E8" s="4">
        <f>3*60+10</f>
        <v>190</v>
      </c>
      <c r="F8" s="4">
        <v>3.46</v>
      </c>
      <c r="G8" s="61" t="s">
        <v>115</v>
      </c>
      <c r="H8" s="61"/>
      <c r="I8" s="61"/>
      <c r="K8" s="9" t="s">
        <v>13</v>
      </c>
      <c r="L8" s="4">
        <v>1806</v>
      </c>
      <c r="M8" s="4">
        <v>71.8</v>
      </c>
      <c r="N8" s="4">
        <v>134</v>
      </c>
      <c r="O8" s="4">
        <v>35.299999999999997</v>
      </c>
      <c r="P8" s="4">
        <v>2.6</v>
      </c>
      <c r="Q8" s="4">
        <v>15.2</v>
      </c>
      <c r="R8" s="4">
        <v>10.7</v>
      </c>
      <c r="S8" s="4">
        <v>1.7</v>
      </c>
      <c r="T8" s="4">
        <v>4.95</v>
      </c>
      <c r="U8" s="4">
        <v>0.72</v>
      </c>
    </row>
    <row r="9" spans="2:21" ht="14.5" customHeight="1" x14ac:dyDescent="0.35">
      <c r="B9" s="4">
        <v>3912</v>
      </c>
      <c r="C9" s="4" t="s">
        <v>108</v>
      </c>
      <c r="D9" s="10">
        <f>AVERAGE(Q6:Q11)*1000000</f>
        <v>12516666.666666668</v>
      </c>
      <c r="E9" s="4">
        <f>6*60+27</f>
        <v>387</v>
      </c>
      <c r="F9" s="4">
        <v>6.39</v>
      </c>
      <c r="G9" s="61" t="s">
        <v>119</v>
      </c>
      <c r="H9" s="61"/>
      <c r="I9" s="61"/>
      <c r="K9" s="9" t="s">
        <v>14</v>
      </c>
      <c r="L9" s="4">
        <v>1875</v>
      </c>
      <c r="M9" s="4">
        <v>71.7</v>
      </c>
      <c r="N9" s="4">
        <v>138</v>
      </c>
      <c r="O9" s="4">
        <v>37.1</v>
      </c>
      <c r="P9" s="4">
        <v>2</v>
      </c>
      <c r="Q9" s="4">
        <v>13.1</v>
      </c>
      <c r="R9" s="4">
        <v>7.7</v>
      </c>
      <c r="S9" s="4">
        <v>1.65</v>
      </c>
      <c r="T9" s="4">
        <v>4.5</v>
      </c>
      <c r="U9" s="4">
        <v>0.73</v>
      </c>
    </row>
    <row r="10" spans="2:21" ht="14.5" customHeight="1" x14ac:dyDescent="0.35">
      <c r="B10" s="4">
        <v>12933</v>
      </c>
      <c r="C10" s="4" t="s">
        <v>110</v>
      </c>
      <c r="D10" s="10">
        <f>AVERAGE(R6:R11)*1000000</f>
        <v>6808333.333333334</v>
      </c>
      <c r="E10" s="4">
        <f>2*60+36</f>
        <v>156</v>
      </c>
      <c r="F10" s="4">
        <v>2.59</v>
      </c>
      <c r="G10" s="61" t="s">
        <v>120</v>
      </c>
      <c r="H10" s="61"/>
      <c r="I10" s="61"/>
      <c r="K10" s="9" t="s">
        <v>15</v>
      </c>
      <c r="L10" s="4">
        <v>1852</v>
      </c>
      <c r="M10" s="4">
        <v>78.099999999999994</v>
      </c>
      <c r="N10" s="4">
        <v>152</v>
      </c>
      <c r="O10" s="4">
        <v>37.5</v>
      </c>
      <c r="P10" s="4">
        <v>2.0499999999999998</v>
      </c>
      <c r="Q10" s="4">
        <v>11.8</v>
      </c>
      <c r="R10" s="4">
        <v>5.95</v>
      </c>
      <c r="S10" s="4">
        <v>1.75</v>
      </c>
      <c r="T10" s="4">
        <v>4.55</v>
      </c>
      <c r="U10" s="4">
        <v>0.69</v>
      </c>
    </row>
    <row r="11" spans="2:21" ht="15" customHeight="1" x14ac:dyDescent="0.35">
      <c r="B11" s="4">
        <v>19721</v>
      </c>
      <c r="C11" s="4" t="s">
        <v>111</v>
      </c>
      <c r="D11" s="10">
        <f>AVERAGE(T6:T11)*1000000</f>
        <v>4716666.666666667</v>
      </c>
      <c r="E11" s="4">
        <f>2*60+35</f>
        <v>155</v>
      </c>
      <c r="F11" s="4">
        <v>2.14</v>
      </c>
      <c r="G11" s="61" t="s">
        <v>122</v>
      </c>
      <c r="H11" s="61"/>
      <c r="I11" s="61"/>
      <c r="K11" s="9" t="s">
        <v>16</v>
      </c>
      <c r="L11" s="4">
        <v>2091</v>
      </c>
      <c r="M11" s="4">
        <v>90.2</v>
      </c>
      <c r="N11" s="4">
        <v>147</v>
      </c>
      <c r="O11" s="4">
        <v>36.200000000000003</v>
      </c>
      <c r="P11" s="4">
        <v>2.15</v>
      </c>
      <c r="Q11" s="4">
        <v>11.7</v>
      </c>
      <c r="R11" s="4">
        <v>5.65</v>
      </c>
      <c r="S11" s="4">
        <v>1.95</v>
      </c>
      <c r="T11" s="4">
        <v>4</v>
      </c>
      <c r="U11" s="4">
        <v>0.77</v>
      </c>
    </row>
    <row r="12" spans="2:21" ht="15" customHeight="1" x14ac:dyDescent="0.35">
      <c r="B12" s="4">
        <v>29049</v>
      </c>
      <c r="C12" s="4" t="s">
        <v>107</v>
      </c>
      <c r="D12" s="10">
        <f>AVERAGE(P6:P11)*1000000</f>
        <v>2100000</v>
      </c>
      <c r="E12" s="4">
        <f>3*60+23</f>
        <v>203</v>
      </c>
      <c r="F12" s="4">
        <v>3.53</v>
      </c>
      <c r="G12" s="61" t="s">
        <v>118</v>
      </c>
      <c r="H12" s="61"/>
      <c r="I12" s="61"/>
    </row>
    <row r="13" spans="2:21" ht="14.5" customHeight="1" x14ac:dyDescent="0.35">
      <c r="B13" s="4">
        <v>31626</v>
      </c>
      <c r="C13" s="4" t="s">
        <v>109</v>
      </c>
      <c r="D13" s="10">
        <f>AVERAGE(S6:S11)*1000000</f>
        <v>1758333.333333333</v>
      </c>
      <c r="E13" s="4">
        <f>3*60+17</f>
        <v>197</v>
      </c>
      <c r="F13" s="4">
        <v>4.17</v>
      </c>
      <c r="G13" s="61" t="s">
        <v>121</v>
      </c>
      <c r="H13" s="61"/>
      <c r="I13" s="61"/>
    </row>
    <row r="14" spans="2:21" ht="14.5" customHeight="1" x14ac:dyDescent="0.35">
      <c r="B14" s="4">
        <v>63487</v>
      </c>
      <c r="C14" s="4" t="s">
        <v>112</v>
      </c>
      <c r="D14" s="10">
        <f>AVERAGE(U6:U11)*1000000</f>
        <v>733333.33333333337</v>
      </c>
      <c r="E14" s="4">
        <f>4*60+4</f>
        <v>244</v>
      </c>
      <c r="F14" s="4">
        <v>4.6399999999999997</v>
      </c>
      <c r="G14" s="61" t="s">
        <v>123</v>
      </c>
      <c r="H14" s="61"/>
      <c r="I14" s="61"/>
    </row>
    <row r="15" spans="2:21" ht="14.5" customHeight="1" x14ac:dyDescent="0.35">
      <c r="B15" s="4" t="s">
        <v>0</v>
      </c>
      <c r="C15" s="4" t="s">
        <v>106</v>
      </c>
      <c r="D15" s="10">
        <f>AVERAGE(O6:O11)*1000000</f>
        <v>36949999.999999993</v>
      </c>
      <c r="E15" s="4">
        <f>3*60+7</f>
        <v>187</v>
      </c>
      <c r="F15" s="4">
        <v>3.08</v>
      </c>
      <c r="G15" s="61" t="s">
        <v>117</v>
      </c>
      <c r="H15" s="61"/>
      <c r="I15" s="61"/>
    </row>
    <row r="16" spans="2:21" ht="29" x14ac:dyDescent="0.35">
      <c r="B16" s="4" t="s">
        <v>4</v>
      </c>
      <c r="C16" s="26" t="s">
        <v>124</v>
      </c>
      <c r="D16" s="19" t="s">
        <v>5</v>
      </c>
      <c r="E16" s="4" t="s">
        <v>0</v>
      </c>
      <c r="F16" s="4" t="s">
        <v>0</v>
      </c>
      <c r="G16" s="4"/>
      <c r="H16" s="4"/>
      <c r="I16" s="4" t="s">
        <v>0</v>
      </c>
    </row>
    <row r="17" spans="2:8" x14ac:dyDescent="0.35">
      <c r="B17" s="3"/>
    </row>
    <row r="20" spans="2:8" x14ac:dyDescent="0.35">
      <c r="C20" s="58" t="s">
        <v>125</v>
      </c>
      <c r="D20" s="58"/>
      <c r="E20" s="58"/>
      <c r="F20" s="58"/>
      <c r="G20" s="58"/>
      <c r="H20" s="21"/>
    </row>
    <row r="21" spans="2:8" ht="58" x14ac:dyDescent="0.35">
      <c r="C21" s="20" t="s">
        <v>84</v>
      </c>
      <c r="D21" s="22" t="s">
        <v>178</v>
      </c>
      <c r="E21" s="22" t="s">
        <v>253</v>
      </c>
      <c r="F21" s="20" t="s">
        <v>238</v>
      </c>
      <c r="G21" s="20" t="s">
        <v>100</v>
      </c>
      <c r="H21" s="22" t="s">
        <v>128</v>
      </c>
    </row>
    <row r="22" spans="2:8" ht="15" thickBot="1" x14ac:dyDescent="0.4">
      <c r="C22" s="10">
        <f>SUM(D6:D15)</f>
        <v>2183633333.333333</v>
      </c>
      <c r="D22" s="35">
        <f>F22/C22/E22/3600</f>
        <v>9.939446488268791</v>
      </c>
      <c r="E22" s="10">
        <f>3000000/8</f>
        <v>375000</v>
      </c>
      <c r="F22" s="16">
        <f>G22*H22</f>
        <v>2.9300544000000004E+19</v>
      </c>
      <c r="G22" s="16">
        <f>'Video Categories'!D14</f>
        <v>8.7360000000000016E+19</v>
      </c>
      <c r="H22" s="30">
        <f>(26.58+5.73+0.8+0.43)/100</f>
        <v>0.33539999999999998</v>
      </c>
    </row>
    <row r="23" spans="2:8" ht="58.5" thickTop="1" x14ac:dyDescent="0.35">
      <c r="B23" s="4" t="s">
        <v>4</v>
      </c>
      <c r="C23" s="15" t="s">
        <v>97</v>
      </c>
      <c r="D23" s="15" t="s">
        <v>229</v>
      </c>
      <c r="E23" s="15" t="s">
        <v>126</v>
      </c>
      <c r="F23" s="15" t="s">
        <v>99</v>
      </c>
      <c r="G23" s="15" t="s">
        <v>99</v>
      </c>
      <c r="H23" s="15" t="s">
        <v>177</v>
      </c>
    </row>
    <row r="24" spans="2:8" ht="29" customHeight="1" x14ac:dyDescent="0.35">
      <c r="B24" s="4" t="s">
        <v>83</v>
      </c>
      <c r="C24" s="32" t="s">
        <v>222</v>
      </c>
      <c r="D24" s="19" t="s">
        <v>254</v>
      </c>
      <c r="E24" s="32" t="s">
        <v>236</v>
      </c>
      <c r="F24" s="19" t="s">
        <v>74</v>
      </c>
      <c r="G24" s="32" t="s">
        <v>161</v>
      </c>
      <c r="H24" s="32" t="s">
        <v>176</v>
      </c>
    </row>
    <row r="27" spans="2:8" x14ac:dyDescent="0.35">
      <c r="D27" s="27"/>
    </row>
    <row r="30" spans="2:8" x14ac:dyDescent="0.35">
      <c r="D30" s="18"/>
    </row>
    <row r="31" spans="2:8" x14ac:dyDescent="0.35">
      <c r="E31" s="28"/>
    </row>
    <row r="32" spans="2:8" x14ac:dyDescent="0.35">
      <c r="E32" s="28"/>
    </row>
    <row r="33" spans="5:5" x14ac:dyDescent="0.35">
      <c r="E33" s="29"/>
    </row>
    <row r="35" spans="5:5" x14ac:dyDescent="0.35">
      <c r="E35" s="28"/>
    </row>
    <row r="36" spans="5:5" x14ac:dyDescent="0.35">
      <c r="E36" s="28"/>
    </row>
    <row r="38" spans="5:5" x14ac:dyDescent="0.35">
      <c r="E38" s="28"/>
    </row>
    <row r="39" spans="5:5" x14ac:dyDescent="0.35">
      <c r="E39" s="27"/>
    </row>
  </sheetData>
  <mergeCells count="15">
    <mergeCell ref="B2:C2"/>
    <mergeCell ref="C20:G20"/>
    <mergeCell ref="G9:I9"/>
    <mergeCell ref="G10:I10"/>
    <mergeCell ref="G11:I11"/>
    <mergeCell ref="G12:I12"/>
    <mergeCell ref="G15:I15"/>
    <mergeCell ref="G8:I8"/>
    <mergeCell ref="K4:U4"/>
    <mergeCell ref="G13:I13"/>
    <mergeCell ref="G14:I14"/>
    <mergeCell ref="B4:I4"/>
    <mergeCell ref="G5:I5"/>
    <mergeCell ref="G6:I6"/>
    <mergeCell ref="G7:I7"/>
  </mergeCells>
  <conditionalFormatting sqref="B6:H6 B16:I16 B11:C15 E11:H15 B7:C9 E7:H9 D7:D15 D24:F24 C22 E23:G23 E22:F22">
    <cfRule type="expression" dxfId="37" priority="30">
      <formula>MOD(ROW(),2)</formula>
    </cfRule>
  </conditionalFormatting>
  <conditionalFormatting sqref="K6:R11">
    <cfRule type="expression" dxfId="36" priority="29">
      <formula>MOD(ROW(),2)</formula>
    </cfRule>
  </conditionalFormatting>
  <conditionalFormatting sqref="B23:C23 B24">
    <cfRule type="expression" dxfId="35" priority="26">
      <formula>MOD(ROW(),2)</formula>
    </cfRule>
  </conditionalFormatting>
  <conditionalFormatting sqref="G22">
    <cfRule type="expression" dxfId="34" priority="23">
      <formula>MOD(ROW(),2)</formula>
    </cfRule>
  </conditionalFormatting>
  <conditionalFormatting sqref="B10:C10 E10:H10">
    <cfRule type="expression" dxfId="33" priority="19">
      <formula>MOD(ROW(),2)</formula>
    </cfRule>
  </conditionalFormatting>
  <conditionalFormatting sqref="B11:C11 E11:H11">
    <cfRule type="expression" dxfId="32" priority="18">
      <formula>MOD(ROW(),2)</formula>
    </cfRule>
  </conditionalFormatting>
  <conditionalFormatting sqref="F12:F15">
    <cfRule type="expression" dxfId="31" priority="17">
      <formula>MOD(ROW(),2)</formula>
    </cfRule>
  </conditionalFormatting>
  <conditionalFormatting sqref="S6:U11">
    <cfRule type="expression" dxfId="30" priority="10">
      <formula>MOD(ROW(),2)</formula>
    </cfRule>
  </conditionalFormatting>
  <conditionalFormatting sqref="D23">
    <cfRule type="expression" dxfId="29" priority="9">
      <formula>MOD(ROW(),2)</formula>
    </cfRule>
  </conditionalFormatting>
  <conditionalFormatting sqref="H22">
    <cfRule type="expression" dxfId="28" priority="6">
      <formula>MOD(ROW(),2)</formula>
    </cfRule>
  </conditionalFormatting>
  <conditionalFormatting sqref="H23">
    <cfRule type="expression" dxfId="27" priority="5">
      <formula>MOD(ROW(),2)</formula>
    </cfRule>
  </conditionalFormatting>
  <conditionalFormatting sqref="G24">
    <cfRule type="expression" dxfId="26" priority="4">
      <formula>MOD(ROW(),2)</formula>
    </cfRule>
  </conditionalFormatting>
  <conditionalFormatting sqref="H24">
    <cfRule type="expression" dxfId="25" priority="3">
      <formula>MOD(ROW(),2)</formula>
    </cfRule>
  </conditionalFormatting>
  <conditionalFormatting sqref="D22">
    <cfRule type="expression" dxfId="24" priority="2">
      <formula>MOD(ROW(),2)</formula>
    </cfRule>
  </conditionalFormatting>
  <conditionalFormatting sqref="C24">
    <cfRule type="expression" dxfId="23" priority="1">
      <formula>MOD(ROW(),2)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5"/>
  <sheetViews>
    <sheetView topLeftCell="A7" zoomScale="90" zoomScaleNormal="90" workbookViewId="0">
      <selection activeCell="E18" sqref="E18"/>
    </sheetView>
  </sheetViews>
  <sheetFormatPr baseColWidth="10" defaultColWidth="8.7265625" defaultRowHeight="14.5" x14ac:dyDescent="0.35"/>
  <cols>
    <col min="2" max="2" width="11.6328125" customWidth="1"/>
    <col min="3" max="4" width="23.6328125" customWidth="1"/>
    <col min="5" max="5" width="18.7265625" customWidth="1"/>
    <col min="6" max="8" width="23.6328125" customWidth="1"/>
    <col min="9" max="9" width="29.90625" customWidth="1"/>
    <col min="10" max="10" width="6.453125" customWidth="1"/>
    <col min="11" max="17" width="15.6328125" customWidth="1"/>
  </cols>
  <sheetData>
    <row r="2" spans="2:17" ht="20" customHeight="1" x14ac:dyDescent="0.35">
      <c r="B2" s="58" t="s">
        <v>152</v>
      </c>
      <c r="C2" s="58"/>
    </row>
    <row r="3" spans="2:17" x14ac:dyDescent="0.35">
      <c r="B3" s="2"/>
      <c r="C3" s="2"/>
      <c r="D3" s="2"/>
      <c r="E3" s="2"/>
      <c r="F3" s="2"/>
      <c r="G3" s="2"/>
      <c r="H3" s="2"/>
      <c r="I3" s="2"/>
      <c r="J3" s="1"/>
    </row>
    <row r="4" spans="2:17" ht="15" customHeight="1" x14ac:dyDescent="0.35">
      <c r="B4" s="58" t="s">
        <v>2</v>
      </c>
      <c r="C4" s="58"/>
      <c r="D4" s="58"/>
      <c r="E4" s="58"/>
      <c r="F4" s="58"/>
      <c r="G4" s="58"/>
      <c r="H4" s="58"/>
      <c r="I4" s="58"/>
      <c r="J4" s="1"/>
      <c r="K4" s="58" t="s">
        <v>18</v>
      </c>
      <c r="L4" s="58"/>
      <c r="M4" s="58"/>
      <c r="N4" s="58"/>
      <c r="O4" s="58"/>
      <c r="P4" s="58"/>
      <c r="Q4" s="58"/>
    </row>
    <row r="5" spans="2:17" ht="49" customHeight="1" x14ac:dyDescent="0.35">
      <c r="B5" s="25" t="s">
        <v>3</v>
      </c>
      <c r="C5" s="25" t="s">
        <v>1</v>
      </c>
      <c r="D5" s="25" t="s">
        <v>84</v>
      </c>
      <c r="E5" s="25" t="s">
        <v>127</v>
      </c>
      <c r="F5" s="25" t="s">
        <v>6</v>
      </c>
      <c r="G5" s="60" t="s">
        <v>103</v>
      </c>
      <c r="H5" s="60"/>
      <c r="I5" s="60"/>
      <c r="K5" s="25" t="s">
        <v>11</v>
      </c>
      <c r="L5" s="25" t="s">
        <v>129</v>
      </c>
      <c r="M5" s="25" t="s">
        <v>130</v>
      </c>
      <c r="N5" s="25" t="s">
        <v>133</v>
      </c>
      <c r="O5" s="25" t="s">
        <v>134</v>
      </c>
      <c r="P5" s="25" t="s">
        <v>132</v>
      </c>
      <c r="Q5" s="25" t="s">
        <v>131</v>
      </c>
    </row>
    <row r="6" spans="2:17" ht="14.5" customHeight="1" x14ac:dyDescent="0.35">
      <c r="B6" s="4">
        <v>2</v>
      </c>
      <c r="C6" s="4" t="s">
        <v>129</v>
      </c>
      <c r="D6" s="10">
        <f>AVERAGE(L6:L11)*1000000</f>
        <v>24629166666.666668</v>
      </c>
      <c r="E6" s="4">
        <f>21*60+37</f>
        <v>1297</v>
      </c>
      <c r="F6" s="4" t="s">
        <v>136</v>
      </c>
      <c r="G6" s="61" t="s">
        <v>23</v>
      </c>
      <c r="H6" s="61"/>
      <c r="I6" s="61"/>
      <c r="K6" s="9" t="s">
        <v>17</v>
      </c>
      <c r="L6" s="4">
        <v>24555</v>
      </c>
      <c r="M6" s="4">
        <v>397.5</v>
      </c>
      <c r="N6" s="4">
        <v>265</v>
      </c>
      <c r="O6" s="4">
        <v>380</v>
      </c>
      <c r="P6" s="4">
        <v>174</v>
      </c>
      <c r="Q6" s="4">
        <v>57.7</v>
      </c>
    </row>
    <row r="7" spans="2:17" ht="14.5" customHeight="1" x14ac:dyDescent="0.35">
      <c r="B7" s="4">
        <v>143</v>
      </c>
      <c r="C7" s="4" t="s">
        <v>130</v>
      </c>
      <c r="D7" s="10">
        <f>AVERAGE(M6:M11)*1000000</f>
        <v>854750000</v>
      </c>
      <c r="E7" s="4">
        <f>5*60+54</f>
        <v>354</v>
      </c>
      <c r="F7" s="4" t="s">
        <v>137</v>
      </c>
      <c r="G7" s="61" t="s">
        <v>143</v>
      </c>
      <c r="H7" s="61"/>
      <c r="I7" s="61"/>
      <c r="J7" s="5"/>
      <c r="K7" s="9" t="s">
        <v>12</v>
      </c>
      <c r="L7" s="4">
        <v>24795</v>
      </c>
      <c r="M7" s="4">
        <v>377.5</v>
      </c>
      <c r="N7" s="4">
        <v>264.5</v>
      </c>
      <c r="O7" s="4">
        <v>355</v>
      </c>
      <c r="P7" s="4">
        <v>171</v>
      </c>
      <c r="Q7" s="4">
        <v>62.3</v>
      </c>
    </row>
    <row r="8" spans="2:17" ht="14.5" customHeight="1" x14ac:dyDescent="0.35">
      <c r="B8" s="4">
        <v>149</v>
      </c>
      <c r="C8" s="4" t="s">
        <v>133</v>
      </c>
      <c r="D8" s="10">
        <f>AVERAGE(N6:N11)*1000000</f>
        <v>244500000</v>
      </c>
      <c r="E8" s="4">
        <f>12*60+8</f>
        <v>728</v>
      </c>
      <c r="F8" s="4" t="s">
        <v>138</v>
      </c>
      <c r="G8" s="61" t="s">
        <v>144</v>
      </c>
      <c r="H8" s="61"/>
      <c r="I8" s="61"/>
      <c r="K8" s="9" t="s">
        <v>13</v>
      </c>
      <c r="L8" s="4">
        <v>23875</v>
      </c>
      <c r="M8" s="4">
        <v>340.5</v>
      </c>
      <c r="N8" s="4">
        <v>241.5</v>
      </c>
      <c r="O8" s="4">
        <v>314.5</v>
      </c>
      <c r="P8" s="4">
        <v>165</v>
      </c>
      <c r="Q8" s="4">
        <v>68.900000000000006</v>
      </c>
    </row>
    <row r="9" spans="2:17" ht="14.5" customHeight="1" x14ac:dyDescent="0.35">
      <c r="B9" s="4">
        <v>151</v>
      </c>
      <c r="C9" s="4" t="s">
        <v>134</v>
      </c>
      <c r="D9" s="10">
        <f>AVERAGE(O6:O11)*1000000</f>
        <v>343916666.66666669</v>
      </c>
      <c r="E9" s="4">
        <f>4*60+7</f>
        <v>247</v>
      </c>
      <c r="F9" s="4" t="s">
        <v>139</v>
      </c>
      <c r="G9" s="61" t="s">
        <v>145</v>
      </c>
      <c r="H9" s="61"/>
      <c r="I9" s="61"/>
      <c r="K9" s="9" t="s">
        <v>14</v>
      </c>
      <c r="L9" s="4">
        <v>24640</v>
      </c>
      <c r="M9" s="4">
        <v>342.5</v>
      </c>
      <c r="N9" s="4">
        <v>235.5</v>
      </c>
      <c r="O9" s="4">
        <v>374</v>
      </c>
      <c r="P9" s="4">
        <v>172</v>
      </c>
      <c r="Q9" s="4">
        <v>72.900000000000006</v>
      </c>
    </row>
    <row r="10" spans="2:17" ht="14.5" customHeight="1" x14ac:dyDescent="0.35">
      <c r="B10" s="4">
        <v>259</v>
      </c>
      <c r="C10" s="4" t="s">
        <v>132</v>
      </c>
      <c r="D10" s="10">
        <f>AVERAGE(P6:P11)*1000000</f>
        <v>166333333.33333334</v>
      </c>
      <c r="E10" s="4">
        <f>3*60+17</f>
        <v>197</v>
      </c>
      <c r="F10" s="4" t="s">
        <v>140</v>
      </c>
      <c r="G10" s="61" t="s">
        <v>146</v>
      </c>
      <c r="H10" s="61"/>
      <c r="I10" s="61"/>
      <c r="K10" s="9" t="s">
        <v>15</v>
      </c>
      <c r="L10" s="4">
        <v>24230</v>
      </c>
      <c r="M10" s="4">
        <v>333</v>
      </c>
      <c r="N10" s="4">
        <v>226</v>
      </c>
      <c r="O10" s="4">
        <v>353.5</v>
      </c>
      <c r="P10" s="4">
        <v>159.5</v>
      </c>
      <c r="Q10" s="4">
        <v>76.099999999999994</v>
      </c>
    </row>
    <row r="11" spans="2:17" ht="15" customHeight="1" x14ac:dyDescent="0.35">
      <c r="B11" s="4">
        <v>887</v>
      </c>
      <c r="C11" s="4" t="s">
        <v>131</v>
      </c>
      <c r="D11" s="10">
        <f>AVERAGE(Q6:Q11)*1000000</f>
        <v>67383333.333333328</v>
      </c>
      <c r="E11" s="4">
        <f>6*60+3</f>
        <v>363</v>
      </c>
      <c r="F11" s="4" t="s">
        <v>141</v>
      </c>
      <c r="G11" s="61" t="s">
        <v>147</v>
      </c>
      <c r="H11" s="61"/>
      <c r="I11" s="61"/>
      <c r="K11" s="9" t="s">
        <v>16</v>
      </c>
      <c r="L11" s="4">
        <v>25680</v>
      </c>
      <c r="M11" s="4">
        <v>3337.5</v>
      </c>
      <c r="N11" s="4">
        <v>234.5</v>
      </c>
      <c r="O11" s="4">
        <v>286.5</v>
      </c>
      <c r="P11" s="4">
        <v>156.5</v>
      </c>
      <c r="Q11" s="4">
        <v>66.400000000000006</v>
      </c>
    </row>
    <row r="12" spans="2:17" ht="58" x14ac:dyDescent="0.35">
      <c r="B12" s="4" t="s">
        <v>4</v>
      </c>
      <c r="C12" s="26" t="s">
        <v>124</v>
      </c>
      <c r="D12" s="24" t="s">
        <v>135</v>
      </c>
      <c r="E12" s="4" t="s">
        <v>0</v>
      </c>
      <c r="F12" s="4" t="s">
        <v>0</v>
      </c>
      <c r="G12" s="4"/>
      <c r="H12" s="4"/>
      <c r="I12" s="4" t="s">
        <v>0</v>
      </c>
    </row>
    <row r="13" spans="2:17" ht="14.5" customHeight="1" x14ac:dyDescent="0.35">
      <c r="B13" s="3"/>
      <c r="D13" s="18"/>
    </row>
    <row r="14" spans="2:17" ht="14.5" customHeight="1" x14ac:dyDescent="0.35"/>
    <row r="15" spans="2:17" ht="14.5" customHeight="1" x14ac:dyDescent="0.35"/>
    <row r="16" spans="2:17" ht="14.5" customHeight="1" x14ac:dyDescent="0.35">
      <c r="C16" s="58" t="s">
        <v>125</v>
      </c>
      <c r="D16" s="58"/>
      <c r="E16" s="58"/>
      <c r="F16" s="58"/>
      <c r="G16" s="58"/>
      <c r="H16" s="23"/>
    </row>
    <row r="17" spans="2:8" ht="58" x14ac:dyDescent="0.35">
      <c r="C17" s="25" t="s">
        <v>84</v>
      </c>
      <c r="D17" s="25" t="s">
        <v>228</v>
      </c>
      <c r="E17" s="25" t="s">
        <v>253</v>
      </c>
      <c r="F17" s="25" t="s">
        <v>239</v>
      </c>
      <c r="G17" s="25" t="s">
        <v>100</v>
      </c>
      <c r="H17" s="25" t="s">
        <v>128</v>
      </c>
    </row>
    <row r="18" spans="2:8" ht="15" thickBot="1" x14ac:dyDescent="0.4">
      <c r="C18" s="10">
        <f>SUM(D6:D11)</f>
        <v>26306050000</v>
      </c>
      <c r="D18" s="45">
        <f>F18/C18/E18/60</f>
        <v>31.437939181291004</v>
      </c>
      <c r="E18" s="10">
        <f>'VoD websites'!E22</f>
        <v>375000</v>
      </c>
      <c r="F18" s="16">
        <f>H18*G18</f>
        <v>1.8607680000000004E+19</v>
      </c>
      <c r="G18" s="16">
        <f>'Video Categories'!D14</f>
        <v>8.7360000000000016E+19</v>
      </c>
      <c r="H18" s="30">
        <v>0.21299999999999999</v>
      </c>
    </row>
    <row r="19" spans="2:8" ht="29.5" thickTop="1" x14ac:dyDescent="0.35">
      <c r="B19" s="4" t="s">
        <v>4</v>
      </c>
      <c r="C19" s="15" t="s">
        <v>97</v>
      </c>
      <c r="D19" s="15" t="s">
        <v>229</v>
      </c>
      <c r="E19" s="15" t="s">
        <v>126</v>
      </c>
      <c r="F19" s="15" t="s">
        <v>99</v>
      </c>
      <c r="G19" s="15" t="s">
        <v>99</v>
      </c>
      <c r="H19" s="15" t="s">
        <v>227</v>
      </c>
    </row>
    <row r="20" spans="2:8" ht="29" customHeight="1" x14ac:dyDescent="0.35">
      <c r="B20" s="4" t="s">
        <v>83</v>
      </c>
      <c r="C20" s="32" t="s">
        <v>222</v>
      </c>
      <c r="D20" s="57" t="s">
        <v>254</v>
      </c>
      <c r="E20" s="32" t="s">
        <v>236</v>
      </c>
      <c r="F20" s="24" t="s">
        <v>74</v>
      </c>
      <c r="G20" s="32" t="s">
        <v>161</v>
      </c>
      <c r="H20" s="32" t="s">
        <v>176</v>
      </c>
    </row>
    <row r="23" spans="2:8" x14ac:dyDescent="0.35">
      <c r="D23" s="27"/>
      <c r="E23" s="18"/>
    </row>
    <row r="24" spans="2:8" ht="29" customHeight="1" x14ac:dyDescent="0.35"/>
    <row r="26" spans="2:8" x14ac:dyDescent="0.35">
      <c r="D26" s="18"/>
    </row>
    <row r="27" spans="2:8" x14ac:dyDescent="0.35">
      <c r="E27" s="28"/>
    </row>
    <row r="28" spans="2:8" x14ac:dyDescent="0.35">
      <c r="E28" s="28"/>
    </row>
    <row r="29" spans="2:8" x14ac:dyDescent="0.35">
      <c r="E29" s="29"/>
    </row>
    <row r="31" spans="2:8" x14ac:dyDescent="0.35">
      <c r="E31" s="28"/>
    </row>
    <row r="32" spans="2:8" x14ac:dyDescent="0.35">
      <c r="E32" s="28"/>
    </row>
    <row r="34" spans="5:5" x14ac:dyDescent="0.35">
      <c r="E34" s="28"/>
    </row>
    <row r="35" spans="5:5" x14ac:dyDescent="0.35">
      <c r="E35" s="27"/>
    </row>
  </sheetData>
  <sortState ref="B5:C10">
    <sortCondition ref="B5:B10"/>
  </sortState>
  <mergeCells count="11">
    <mergeCell ref="G8:I8"/>
    <mergeCell ref="C16:G16"/>
    <mergeCell ref="G9:I9"/>
    <mergeCell ref="G10:I10"/>
    <mergeCell ref="G11:I11"/>
    <mergeCell ref="B2:C2"/>
    <mergeCell ref="K4:Q4"/>
    <mergeCell ref="G5:I5"/>
    <mergeCell ref="G6:I6"/>
    <mergeCell ref="G7:I7"/>
    <mergeCell ref="B4:I4"/>
  </mergeCells>
  <conditionalFormatting sqref="B6:H6 B12:I12 B11:C11 E11:H11 B7:C9 E7:H9 D7:D11 C18 E19:G19 E18:F18 F20">
    <cfRule type="expression" dxfId="22" priority="22">
      <formula>MOD(ROW(),2)</formula>
    </cfRule>
  </conditionalFormatting>
  <conditionalFormatting sqref="K6:K11 M6:Q11">
    <cfRule type="expression" dxfId="21" priority="21">
      <formula>MOD(ROW(),2)</formula>
    </cfRule>
  </conditionalFormatting>
  <conditionalFormatting sqref="B19:C19 B20">
    <cfRule type="expression" dxfId="20" priority="20">
      <formula>MOD(ROW(),2)</formula>
    </cfRule>
  </conditionalFormatting>
  <conditionalFormatting sqref="B10:C10 E10:H10">
    <cfRule type="expression" dxfId="19" priority="17">
      <formula>MOD(ROW(),2)</formula>
    </cfRule>
  </conditionalFormatting>
  <conditionalFormatting sqref="G18">
    <cfRule type="expression" dxfId="18" priority="18">
      <formula>MOD(ROW(),2)</formula>
    </cfRule>
  </conditionalFormatting>
  <conditionalFormatting sqref="B11:C11 E11:H11">
    <cfRule type="expression" dxfId="17" priority="16">
      <formula>MOD(ROW(),2)</formula>
    </cfRule>
  </conditionalFormatting>
  <conditionalFormatting sqref="D19">
    <cfRule type="expression" dxfId="16" priority="13">
      <formula>MOD(ROW(),2)</formula>
    </cfRule>
  </conditionalFormatting>
  <conditionalFormatting sqref="H19">
    <cfRule type="expression" dxfId="15" priority="12">
      <formula>MOD(ROW(),2)</formula>
    </cfRule>
  </conditionalFormatting>
  <conditionalFormatting sqref="H18">
    <cfRule type="expression" dxfId="14" priority="10">
      <formula>MOD(ROW(),2)</formula>
    </cfRule>
  </conditionalFormatting>
  <conditionalFormatting sqref="L6:L11">
    <cfRule type="expression" dxfId="13" priority="9">
      <formula>MOD(ROW(),2)</formula>
    </cfRule>
  </conditionalFormatting>
  <conditionalFormatting sqref="D18">
    <cfRule type="expression" dxfId="12" priority="8">
      <formula>MOD(ROW(),2)</formula>
    </cfRule>
  </conditionalFormatting>
  <conditionalFormatting sqref="G20">
    <cfRule type="expression" dxfId="11" priority="6">
      <formula>MOD(ROW(),2)</formula>
    </cfRule>
  </conditionalFormatting>
  <conditionalFormatting sqref="E20">
    <cfRule type="expression" dxfId="10" priority="4">
      <formula>MOD(ROW(),2)</formula>
    </cfRule>
  </conditionalFormatting>
  <conditionalFormatting sqref="C20">
    <cfRule type="expression" dxfId="9" priority="3">
      <formula>MOD(ROW(),2)</formula>
    </cfRule>
  </conditionalFormatting>
  <conditionalFormatting sqref="H20">
    <cfRule type="expression" dxfId="8" priority="2">
      <formula>MOD(ROW(),2)</formula>
    </cfRule>
  </conditionalFormatting>
  <conditionalFormatting sqref="D20">
    <cfRule type="expression" dxfId="7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35"/>
  <sheetViews>
    <sheetView topLeftCell="A14" zoomScaleNormal="100" workbookViewId="0">
      <selection activeCell="E18" sqref="E18"/>
    </sheetView>
  </sheetViews>
  <sheetFormatPr baseColWidth="10" defaultColWidth="8.7265625" defaultRowHeight="14.5" x14ac:dyDescent="0.35"/>
  <cols>
    <col min="1" max="1" width="3.453125" customWidth="1"/>
    <col min="2" max="2" width="22.90625" customWidth="1"/>
    <col min="3" max="4" width="23.6328125" customWidth="1"/>
    <col min="5" max="5" width="18.7265625" customWidth="1"/>
    <col min="6" max="7" width="23.6328125" customWidth="1"/>
    <col min="8" max="8" width="15.1796875" customWidth="1"/>
    <col min="9" max="9" width="29.90625" customWidth="1"/>
    <col min="10" max="10" width="15.6328125" customWidth="1"/>
  </cols>
  <sheetData>
    <row r="2" spans="2:10" ht="20" customHeight="1" x14ac:dyDescent="0.35">
      <c r="B2" s="58" t="s">
        <v>200</v>
      </c>
      <c r="C2" s="58"/>
      <c r="E2" s="28"/>
    </row>
    <row r="3" spans="2:10" x14ac:dyDescent="0.35">
      <c r="B3" s="2"/>
      <c r="C3" s="2"/>
      <c r="D3" s="2"/>
      <c r="E3" s="2"/>
      <c r="F3" s="2"/>
      <c r="G3" s="2"/>
      <c r="H3" s="2"/>
      <c r="I3" s="2"/>
    </row>
    <row r="4" spans="2:10" ht="15" customHeight="1" x14ac:dyDescent="0.35">
      <c r="B4" s="58" t="s">
        <v>247</v>
      </c>
      <c r="C4" s="58"/>
      <c r="D4" s="58"/>
      <c r="E4" s="58"/>
      <c r="F4" s="58"/>
      <c r="G4" s="58"/>
      <c r="H4" s="58"/>
      <c r="I4" s="58"/>
    </row>
    <row r="5" spans="2:10" ht="49" customHeight="1" x14ac:dyDescent="0.35">
      <c r="B5" s="37"/>
      <c r="C5" s="37" t="s">
        <v>202</v>
      </c>
      <c r="D5" s="37" t="s">
        <v>186</v>
      </c>
      <c r="E5" s="37" t="s">
        <v>181</v>
      </c>
      <c r="F5" s="37" t="s">
        <v>187</v>
      </c>
      <c r="G5" s="37" t="s">
        <v>213</v>
      </c>
      <c r="H5" s="60" t="s">
        <v>148</v>
      </c>
      <c r="I5" s="60"/>
    </row>
    <row r="6" spans="2:10" ht="29" x14ac:dyDescent="0.35">
      <c r="B6" s="36" t="s">
        <v>201</v>
      </c>
      <c r="C6" s="41">
        <f>SUM(D6:G6)</f>
        <v>1</v>
      </c>
      <c r="D6" s="42">
        <f>'Adult websites'!G71</f>
        <v>0.26693671947952541</v>
      </c>
      <c r="E6" s="42">
        <f>'VoD websites'!H22</f>
        <v>0.33539999999999998</v>
      </c>
      <c r="F6" s="42">
        <f>'Tube websites'!H18</f>
        <v>0.21299999999999999</v>
      </c>
      <c r="G6" s="42">
        <f>(24.4+8.04+3.45+3.42+0.5)/100+(100-26.58-24.4-21.3-8.04-5.73-3.45-3.42-0.8-0.5-0.43)/100-D6</f>
        <v>0.18466328052047465</v>
      </c>
      <c r="H6" s="62" t="s">
        <v>210</v>
      </c>
      <c r="I6" s="62"/>
      <c r="J6" s="5"/>
    </row>
    <row r="7" spans="2:10" ht="43.5" x14ac:dyDescent="0.35">
      <c r="B7" s="36" t="s">
        <v>203</v>
      </c>
      <c r="C7" s="16">
        <f>'Video Categories'!D14</f>
        <v>8.7360000000000016E+19</v>
      </c>
      <c r="D7" s="16">
        <f>'Adult websites'!E71</f>
        <v>2.3319591813731344E+19</v>
      </c>
      <c r="E7" s="16">
        <f>'VoD websites'!F22</f>
        <v>2.9300544000000004E+19</v>
      </c>
      <c r="F7" s="16">
        <f>'Tube websites'!F18</f>
        <v>1.8607680000000004E+19</v>
      </c>
      <c r="G7" s="16">
        <f>G6*C7</f>
        <v>1.6132184186268668E+19</v>
      </c>
      <c r="H7" s="62" t="s">
        <v>223</v>
      </c>
      <c r="I7" s="62"/>
    </row>
    <row r="8" spans="2:10" ht="43.5" x14ac:dyDescent="0.35">
      <c r="B8" s="36" t="s">
        <v>211</v>
      </c>
      <c r="C8" s="16">
        <f>SUM(D8:G8)</f>
        <v>3882666666666.6675</v>
      </c>
      <c r="D8" s="16">
        <f>D7/'VoD websites'!E22/60</f>
        <v>1036426302832.5042</v>
      </c>
      <c r="E8" s="16">
        <f>E7/'VoD websites'!E22/60</f>
        <v>1302246400000.0002</v>
      </c>
      <c r="F8" s="16">
        <f>F7/'VoD websites'!E22/60</f>
        <v>827008000000.00012</v>
      </c>
      <c r="G8" s="16">
        <f>G7/'VoD websites'!E22/60</f>
        <v>716985963834.16296</v>
      </c>
      <c r="H8" s="62" t="s">
        <v>237</v>
      </c>
      <c r="I8" s="62"/>
    </row>
    <row r="9" spans="2:10" ht="43.5" x14ac:dyDescent="0.35">
      <c r="B9" s="36" t="s">
        <v>243</v>
      </c>
      <c r="C9" s="16">
        <f>SUM(D9:G9)</f>
        <v>49779872635181.305</v>
      </c>
      <c r="D9" s="16">
        <f>13288075897.3439*1000</f>
        <v>13288075897343.9</v>
      </c>
      <c r="E9" s="16">
        <f>16696169281.8398*1000</f>
        <v>16696169281839.801</v>
      </c>
      <c r="F9" s="16">
        <f>10603112871.2936*1000</f>
        <v>10603112871293.6</v>
      </c>
      <c r="G9" s="16">
        <f>9192514584.704*1000</f>
        <v>9192514584704</v>
      </c>
      <c r="H9" s="62" t="s">
        <v>220</v>
      </c>
      <c r="I9" s="62"/>
    </row>
    <row r="10" spans="2:10" ht="31" x14ac:dyDescent="0.35">
      <c r="B10" s="38" t="s">
        <v>216</v>
      </c>
      <c r="C10" s="59">
        <v>0.51900000000000002</v>
      </c>
      <c r="D10" s="59"/>
      <c r="E10" s="59"/>
      <c r="F10" s="59"/>
      <c r="G10" s="59"/>
      <c r="H10" s="62" t="s">
        <v>219</v>
      </c>
      <c r="I10" s="62"/>
    </row>
    <row r="11" spans="2:10" ht="45.5" x14ac:dyDescent="0.35">
      <c r="B11" s="36" t="s">
        <v>251</v>
      </c>
      <c r="C11" s="16">
        <f>SUM(D11:G11)</f>
        <v>25835753897.659096</v>
      </c>
      <c r="D11" s="16">
        <f>D9/1000*$C$10</f>
        <v>6896511390.7214851</v>
      </c>
      <c r="E11" s="16">
        <f>E9/1000*$C$10</f>
        <v>8665311857.2748566</v>
      </c>
      <c r="F11" s="16">
        <f>F9/1000*$C$10</f>
        <v>5503015580.2013788</v>
      </c>
      <c r="G11" s="16">
        <f>G9/1000*$C$10</f>
        <v>4770915069.4613762</v>
      </c>
      <c r="H11" s="62" t="s">
        <v>74</v>
      </c>
      <c r="I11" s="62"/>
    </row>
    <row r="12" spans="2:10" ht="116" x14ac:dyDescent="0.35">
      <c r="B12" s="36" t="s">
        <v>4</v>
      </c>
      <c r="C12" s="40" t="s">
        <v>205</v>
      </c>
      <c r="D12" s="40" t="s">
        <v>207</v>
      </c>
      <c r="E12" s="40" t="s">
        <v>206</v>
      </c>
      <c r="F12" s="40" t="s">
        <v>204</v>
      </c>
      <c r="G12" s="40" t="s">
        <v>224</v>
      </c>
      <c r="H12" s="61" t="s">
        <v>0</v>
      </c>
      <c r="I12" s="61"/>
    </row>
    <row r="13" spans="2:10" ht="14.5" customHeight="1" x14ac:dyDescent="0.35">
      <c r="B13" s="3"/>
      <c r="D13" s="18"/>
    </row>
    <row r="14" spans="2:10" ht="14.5" customHeight="1" x14ac:dyDescent="0.35"/>
    <row r="15" spans="2:10" ht="14.5" customHeight="1" x14ac:dyDescent="0.35">
      <c r="C15" s="58" t="s">
        <v>214</v>
      </c>
      <c r="D15" s="58"/>
      <c r="E15" s="58"/>
      <c r="F15" s="58"/>
      <c r="G15" s="58"/>
    </row>
    <row r="16" spans="2:10" ht="43.5" x14ac:dyDescent="0.35">
      <c r="C16" s="37" t="s">
        <v>212</v>
      </c>
      <c r="D16" s="39" t="s">
        <v>186</v>
      </c>
      <c r="E16" s="39" t="s">
        <v>181</v>
      </c>
      <c r="F16" s="39" t="s">
        <v>187</v>
      </c>
      <c r="G16" s="39" t="s">
        <v>213</v>
      </c>
    </row>
    <row r="17" spans="2:7" ht="43.5" x14ac:dyDescent="0.35">
      <c r="B17" s="38" t="s">
        <v>250</v>
      </c>
      <c r="C17" s="35">
        <f>SUM(D17:G17)</f>
        <v>597.35847162217567</v>
      </c>
      <c r="D17" s="35">
        <f>D9*12/1000000000000</f>
        <v>159.45691076812682</v>
      </c>
      <c r="E17" s="35">
        <f>E9*12/1000000000000</f>
        <v>200.35403138207764</v>
      </c>
      <c r="F17" s="35">
        <f>F9*12/1000000000000</f>
        <v>127.23735445552319</v>
      </c>
      <c r="G17" s="35">
        <f>G9*12/1000000000000</f>
        <v>110.310175016448</v>
      </c>
    </row>
    <row r="18" spans="2:7" ht="46" thickBot="1" x14ac:dyDescent="0.4">
      <c r="B18" s="38" t="s">
        <v>252</v>
      </c>
      <c r="C18" s="35">
        <f>SUM(D18:G18)</f>
        <v>310.02904677190918</v>
      </c>
      <c r="D18" s="35">
        <f>D11*12/1000000000</f>
        <v>82.758136688657828</v>
      </c>
      <c r="E18" s="35">
        <f>E11*12/1000000000</f>
        <v>103.98374228729828</v>
      </c>
      <c r="F18" s="35">
        <f>F11*12/1000000000</f>
        <v>66.036186962416551</v>
      </c>
      <c r="G18" s="35">
        <f>G11*12/1000000000</f>
        <v>57.250980833536516</v>
      </c>
    </row>
    <row r="19" spans="2:7" ht="15" customHeight="1" thickTop="1" x14ac:dyDescent="0.35">
      <c r="B19" s="43" t="s">
        <v>4</v>
      </c>
      <c r="C19" s="64" t="s">
        <v>0</v>
      </c>
      <c r="D19" s="64"/>
      <c r="E19" s="64"/>
      <c r="F19" s="64"/>
      <c r="G19" s="64"/>
    </row>
    <row r="20" spans="2:7" x14ac:dyDescent="0.35">
      <c r="B20" s="36" t="s">
        <v>83</v>
      </c>
      <c r="C20" s="63" t="s">
        <v>215</v>
      </c>
      <c r="D20" s="63"/>
      <c r="E20" s="63"/>
      <c r="F20" s="63"/>
      <c r="G20" s="63"/>
    </row>
    <row r="22" spans="2:7" x14ac:dyDescent="0.35">
      <c r="F22" s="27"/>
    </row>
    <row r="23" spans="2:7" x14ac:dyDescent="0.35">
      <c r="D23" s="55"/>
      <c r="E23" s="18"/>
    </row>
    <row r="24" spans="2:7" ht="29" customHeight="1" x14ac:dyDescent="0.35"/>
    <row r="26" spans="2:7" x14ac:dyDescent="0.35">
      <c r="D26" s="56"/>
    </row>
    <row r="27" spans="2:7" x14ac:dyDescent="0.35">
      <c r="D27" s="54"/>
      <c r="E27" s="28"/>
    </row>
    <row r="28" spans="2:7" x14ac:dyDescent="0.35">
      <c r="E28" s="28"/>
    </row>
    <row r="29" spans="2:7" x14ac:dyDescent="0.35">
      <c r="E29" s="29"/>
    </row>
    <row r="31" spans="2:7" x14ac:dyDescent="0.35">
      <c r="E31" s="28"/>
    </row>
    <row r="32" spans="2:7" x14ac:dyDescent="0.35">
      <c r="E32" s="28"/>
    </row>
    <row r="34" spans="5:5" x14ac:dyDescent="0.35">
      <c r="E34" s="28"/>
    </row>
    <row r="35" spans="5:5" x14ac:dyDescent="0.35">
      <c r="E35" s="27"/>
    </row>
  </sheetData>
  <mergeCells count="14">
    <mergeCell ref="C20:G20"/>
    <mergeCell ref="C19:G19"/>
    <mergeCell ref="C10:G10"/>
    <mergeCell ref="H10:I10"/>
    <mergeCell ref="H12:I12"/>
    <mergeCell ref="H8:I8"/>
    <mergeCell ref="H9:I9"/>
    <mergeCell ref="H11:I11"/>
    <mergeCell ref="C15:G15"/>
    <mergeCell ref="B2:C2"/>
    <mergeCell ref="B4:I4"/>
    <mergeCell ref="H5:I5"/>
    <mergeCell ref="H6:I6"/>
    <mergeCell ref="H7:I7"/>
  </mergeCells>
  <conditionalFormatting sqref="B12:H12 C17:G18 B10:C11 H10 D11:G11 B6:I9">
    <cfRule type="expression" dxfId="6" priority="20">
      <formula>MOD(ROW(),2)</formula>
    </cfRule>
  </conditionalFormatting>
  <conditionalFormatting sqref="B19:C20">
    <cfRule type="expression" dxfId="5" priority="18">
      <formula>MOD(ROW(),2)</formula>
    </cfRule>
  </conditionalFormatting>
  <conditionalFormatting sqref="H11:I11">
    <cfRule type="expression" dxfId="4" priority="16">
      <formula>MOD(ROW(),2)</formula>
    </cfRule>
  </conditionalFormatting>
  <conditionalFormatting sqref="B18">
    <cfRule type="expression" dxfId="3" priority="6">
      <formula>MOD(ROW(),2)</formula>
    </cfRule>
  </conditionalFormatting>
  <conditionalFormatting sqref="B17">
    <cfRule type="expression" dxfId="2" priority="5">
      <formula>MOD(ROW(),2)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topLeftCell="A2" zoomScale="90" zoomScaleNormal="90" workbookViewId="0">
      <selection activeCell="D17" sqref="D17"/>
    </sheetView>
  </sheetViews>
  <sheetFormatPr baseColWidth="10" defaultColWidth="8.7265625" defaultRowHeight="14.5" x14ac:dyDescent="0.35"/>
  <cols>
    <col min="2" max="2" width="10.6328125" customWidth="1"/>
    <col min="3" max="3" width="30.6328125" customWidth="1"/>
    <col min="4" max="5" width="23.6328125" customWidth="1"/>
    <col min="6" max="6" width="85.54296875" customWidth="1"/>
    <col min="7" max="7" width="6.453125" customWidth="1"/>
  </cols>
  <sheetData>
    <row r="2" spans="2:7" x14ac:dyDescent="0.35">
      <c r="B2" s="2"/>
      <c r="C2" s="2"/>
      <c r="D2" s="2"/>
      <c r="E2" s="2"/>
      <c r="F2" s="2"/>
      <c r="G2" s="1"/>
    </row>
    <row r="3" spans="2:7" ht="15" customHeight="1" x14ac:dyDescent="0.35">
      <c r="B3" s="58" t="s">
        <v>148</v>
      </c>
      <c r="C3" s="58"/>
      <c r="D3" s="58"/>
      <c r="E3" s="58"/>
      <c r="F3" s="58"/>
      <c r="G3" s="1"/>
    </row>
    <row r="4" spans="2:7" ht="49" customHeight="1" x14ac:dyDescent="0.35">
      <c r="B4" s="22" t="s">
        <v>150</v>
      </c>
      <c r="C4" s="22" t="s">
        <v>83</v>
      </c>
      <c r="D4" s="60" t="s">
        <v>149</v>
      </c>
      <c r="E4" s="60"/>
      <c r="F4" s="60"/>
    </row>
    <row r="5" spans="2:7" ht="14.5" customHeight="1" x14ac:dyDescent="0.35">
      <c r="B5" s="4" t="s">
        <v>154</v>
      </c>
      <c r="C5" s="32" t="s">
        <v>156</v>
      </c>
      <c r="D5" s="67" t="s">
        <v>157</v>
      </c>
      <c r="E5" s="67"/>
      <c r="F5" s="67"/>
    </row>
    <row r="6" spans="2:7" ht="14.5" customHeight="1" x14ac:dyDescent="0.35">
      <c r="B6" s="4" t="s">
        <v>155</v>
      </c>
      <c r="C6" s="32" t="s">
        <v>171</v>
      </c>
      <c r="D6" s="65" t="s">
        <v>199</v>
      </c>
      <c r="E6" s="65"/>
      <c r="F6" s="65"/>
      <c r="G6" s="5"/>
    </row>
    <row r="7" spans="2:7" ht="14.5" customHeight="1" x14ac:dyDescent="0.35">
      <c r="B7" s="4" t="s">
        <v>158</v>
      </c>
      <c r="C7" s="32" t="s">
        <v>160</v>
      </c>
      <c r="D7" s="65" t="s">
        <v>159</v>
      </c>
      <c r="E7" s="65"/>
      <c r="F7" s="65"/>
    </row>
    <row r="8" spans="2:7" ht="29.5" customHeight="1" x14ac:dyDescent="0.35">
      <c r="B8" s="4" t="s">
        <v>168</v>
      </c>
      <c r="C8" s="34" t="s">
        <v>169</v>
      </c>
      <c r="D8" s="61" t="s">
        <v>167</v>
      </c>
      <c r="E8" s="61"/>
      <c r="F8" s="61"/>
    </row>
    <row r="9" spans="2:7" ht="29.5" customHeight="1" x14ac:dyDescent="0.35">
      <c r="B9" s="4" t="s">
        <v>172</v>
      </c>
      <c r="C9" s="32" t="s">
        <v>170</v>
      </c>
      <c r="D9" s="62" t="s">
        <v>175</v>
      </c>
      <c r="E9" s="62"/>
      <c r="F9" s="62"/>
    </row>
    <row r="10" spans="2:7" ht="14.5" customHeight="1" x14ac:dyDescent="0.35">
      <c r="B10" s="4" t="s">
        <v>173</v>
      </c>
      <c r="C10" s="32" t="s">
        <v>165</v>
      </c>
      <c r="D10" s="67" t="s">
        <v>164</v>
      </c>
      <c r="E10" s="67"/>
      <c r="F10" s="67"/>
    </row>
    <row r="11" spans="2:7" ht="14.5" customHeight="1" x14ac:dyDescent="0.35">
      <c r="B11" s="4" t="s">
        <v>174</v>
      </c>
      <c r="C11" s="32" t="s">
        <v>166</v>
      </c>
      <c r="D11" s="67" t="s">
        <v>163</v>
      </c>
      <c r="E11" s="67"/>
      <c r="F11" s="67"/>
    </row>
    <row r="12" spans="2:7" ht="14.5" customHeight="1" x14ac:dyDescent="0.35">
      <c r="B12" s="38" t="s">
        <v>208</v>
      </c>
      <c r="C12" s="32" t="s">
        <v>209</v>
      </c>
      <c r="D12" s="66" t="s">
        <v>218</v>
      </c>
      <c r="E12" s="66"/>
      <c r="F12" s="66"/>
    </row>
    <row r="13" spans="2:7" ht="14.5" customHeight="1" x14ac:dyDescent="0.35">
      <c r="B13" s="38" t="s">
        <v>217</v>
      </c>
      <c r="C13" s="32" t="s">
        <v>231</v>
      </c>
      <c r="D13" s="66" t="s">
        <v>248</v>
      </c>
      <c r="E13" s="66"/>
      <c r="F13" s="66"/>
    </row>
    <row r="14" spans="2:7" ht="31.5" customHeight="1" x14ac:dyDescent="0.35">
      <c r="B14" s="38" t="s">
        <v>221</v>
      </c>
      <c r="C14" s="32" t="s">
        <v>232</v>
      </c>
      <c r="D14" s="61" t="s">
        <v>249</v>
      </c>
      <c r="E14" s="66"/>
      <c r="F14" s="66"/>
    </row>
    <row r="15" spans="2:7" ht="28.5" customHeight="1" x14ac:dyDescent="0.35">
      <c r="B15" s="44" t="s">
        <v>225</v>
      </c>
      <c r="C15" s="32" t="s">
        <v>233</v>
      </c>
      <c r="D15" s="68" t="s">
        <v>226</v>
      </c>
      <c r="E15" s="68"/>
      <c r="F15" s="68"/>
    </row>
    <row r="16" spans="2:7" ht="28.5" customHeight="1" x14ac:dyDescent="0.35">
      <c r="B16" s="44" t="s">
        <v>230</v>
      </c>
      <c r="C16" s="32" t="s">
        <v>234</v>
      </c>
      <c r="D16" s="61" t="s">
        <v>235</v>
      </c>
      <c r="E16" s="68"/>
      <c r="F16" s="68"/>
    </row>
    <row r="23" ht="29" customHeight="1" x14ac:dyDescent="0.35"/>
  </sheetData>
  <mergeCells count="14">
    <mergeCell ref="D15:F15"/>
    <mergeCell ref="D16:F16"/>
    <mergeCell ref="D14:F14"/>
    <mergeCell ref="D11:F11"/>
    <mergeCell ref="D8:F8"/>
    <mergeCell ref="D9:F9"/>
    <mergeCell ref="D7:F7"/>
    <mergeCell ref="D13:F13"/>
    <mergeCell ref="D12:F12"/>
    <mergeCell ref="B3:F3"/>
    <mergeCell ref="D4:F4"/>
    <mergeCell ref="D5:F5"/>
    <mergeCell ref="D6:F6"/>
    <mergeCell ref="D10:F10"/>
  </mergeCells>
  <conditionalFormatting sqref="D6:E7 B9:E9 D8 B5:E5 B10:D16 B6:C8">
    <cfRule type="expression" dxfId="1" priority="13">
      <formula>MOD(ROW(),2)</formula>
    </cfRule>
  </conditionalFormatting>
  <conditionalFormatting sqref="B9:C9">
    <cfRule type="expression" dxfId="0" priority="7">
      <formula>MOD(ROW(),2)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Video Categories</vt:lpstr>
      <vt:lpstr>Adult websites</vt:lpstr>
      <vt:lpstr>VoD websites</vt:lpstr>
      <vt:lpstr>Tube websites</vt:lpstr>
      <vt:lpstr>CO2</vt:lpstr>
      <vt:lpstr>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2020-06-16T13:45:50Z</dcterms:modified>
</cp:coreProperties>
</file>