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SP_User\Nextcloud\Projets\Programme Numérique\4 - Projets\2024 - Mondes virtuels\6 - Calculs consommation électrique et empreinte carbone\"/>
    </mc:Choice>
  </mc:AlternateContent>
  <xr:revisionPtr revIDLastSave="0" documentId="13_ncr:1_{36A80295-9E0F-4D82-9F3B-4577EAAAE4C8}" xr6:coauthVersionLast="47" xr6:coauthVersionMax="47" xr10:uidLastSave="{00000000-0000-0000-0000-000000000000}"/>
  <bookViews>
    <workbookView xWindow="-110" yWindow="-110" windowWidth="19420" windowHeight="10300" tabRatio="786" xr2:uid="{07BD8BB3-F8A7-4B2A-8F21-0A9A0F179D6B}"/>
  </bookViews>
  <sheets>
    <sheet name="Resume scenario" sheetId="14" r:id="rId1"/>
    <sheet name="Calcul" sheetId="20" r:id="rId2"/>
    <sheet name="1" sheetId="21" r:id="rId3"/>
    <sheet name="2" sheetId="19" r:id="rId4"/>
    <sheet name="3" sheetId="6" r:id="rId5"/>
    <sheet name="4" sheetId="8" r:id="rId6"/>
    <sheet name="5" sheetId="10" r:id="rId7"/>
    <sheet name="6" sheetId="22" r:id="rId8"/>
    <sheet name="7" sheetId="3" r:id="rId9"/>
    <sheet name="8" sheetId="11" r:id="rId10"/>
    <sheet name="Références" sheetId="17" r:id="rId11"/>
  </sheets>
  <definedNames>
    <definedName name="_xlchart.v1.0" hidden="1">'2'!$H$35</definedName>
    <definedName name="_xlchart.v1.1" hidden="1">'2'!$H$36:$H$44</definedName>
    <definedName name="_xlchart.v1.10" hidden="1">'2'!$M$35</definedName>
    <definedName name="_xlchart.v1.11" hidden="1">'2'!$M$36:$M$44</definedName>
    <definedName name="_xlchart.v1.2" hidden="1">'2'!$I$35</definedName>
    <definedName name="_xlchart.v1.3" hidden="1">'2'!$I$36:$I$44</definedName>
    <definedName name="_xlchart.v1.4" hidden="1">'2'!$J$35</definedName>
    <definedName name="_xlchart.v1.5" hidden="1">'2'!$J$36:$J$44</definedName>
    <definedName name="_xlchart.v1.6" hidden="1">'2'!$K$35</definedName>
    <definedName name="_xlchart.v1.7" hidden="1">'2'!$K$36:$K$44</definedName>
    <definedName name="_xlchart.v1.8" hidden="1">'2'!$L$35</definedName>
    <definedName name="_xlchart.v1.9" hidden="1">'2'!$L$36:$L$44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0" l="1"/>
  <c r="B4" i="3"/>
  <c r="C10" i="20"/>
  <c r="B4" i="22"/>
  <c r="C13" i="22"/>
  <c r="C12" i="22"/>
  <c r="C12" i="10"/>
  <c r="C13" i="10" s="1"/>
  <c r="B4" i="10" s="1"/>
  <c r="J12" i="6"/>
  <c r="F13" i="6"/>
  <c r="G13" i="6" s="1"/>
  <c r="H13" i="6" s="1"/>
  <c r="I13" i="6" s="1"/>
  <c r="J13" i="6" s="1"/>
  <c r="B4" i="6" s="1"/>
  <c r="E13" i="6"/>
  <c r="D13" i="6"/>
  <c r="E12" i="6"/>
  <c r="F12" i="6"/>
  <c r="G12" i="6"/>
  <c r="H12" i="6"/>
  <c r="I12" i="6" s="1"/>
  <c r="D12" i="6"/>
  <c r="L12" i="6"/>
  <c r="C9" i="6"/>
  <c r="C5" i="20"/>
  <c r="C28" i="20" l="1"/>
  <c r="C29" i="20" s="1"/>
  <c r="C7" i="20"/>
  <c r="C27" i="20" s="1"/>
  <c r="G5" i="20"/>
  <c r="G46" i="19"/>
  <c r="J44" i="19"/>
  <c r="J43" i="19"/>
  <c r="J42" i="19"/>
  <c r="J41" i="19"/>
  <c r="H41" i="19"/>
  <c r="J40" i="19"/>
  <c r="H40" i="19"/>
  <c r="K39" i="19"/>
  <c r="J39" i="19"/>
  <c r="H39" i="19"/>
  <c r="L38" i="19"/>
  <c r="K38" i="19"/>
  <c r="J38" i="19"/>
  <c r="H38" i="19"/>
  <c r="M37" i="19"/>
  <c r="L37" i="19"/>
  <c r="K37" i="19"/>
  <c r="J37" i="19"/>
  <c r="H37" i="19"/>
  <c r="M36" i="19"/>
  <c r="L36" i="19"/>
  <c r="K36" i="19"/>
  <c r="J36" i="19"/>
  <c r="I36" i="19"/>
  <c r="H36" i="19"/>
  <c r="I5" i="14" l="1"/>
  <c r="C26" i="20"/>
  <c r="H5" i="14" s="1"/>
  <c r="E5" i="14"/>
  <c r="G17" i="20"/>
  <c r="G22" i="20" s="1"/>
  <c r="H22" i="20" s="1"/>
  <c r="I22" i="20" s="1"/>
  <c r="J22" i="20" s="1"/>
  <c r="F5" i="14"/>
  <c r="G5" i="14" l="1"/>
  <c r="G21" i="20"/>
  <c r="H21" i="20" s="1"/>
  <c r="I21" i="20" s="1"/>
  <c r="J21" i="20" s="1"/>
  <c r="G20" i="20"/>
  <c r="D5" i="14"/>
  <c r="H20" i="20" l="1"/>
  <c r="I20" i="20" s="1"/>
  <c r="J20" i="20" s="1"/>
  <c r="G23" i="20"/>
  <c r="H23" i="20" l="1"/>
  <c r="G28" i="20" s="1"/>
  <c r="G29" i="20" s="1"/>
  <c r="F6" i="14" s="1"/>
  <c r="J23" i="20"/>
  <c r="I23" i="20"/>
  <c r="I6" i="14" l="1"/>
  <c r="G26" i="20"/>
  <c r="H6" i="14" s="1"/>
  <c r="G27" i="20"/>
  <c r="E6" i="14" s="1"/>
  <c r="G6" i="14" l="1"/>
  <c r="D6" i="14"/>
</calcChain>
</file>

<file path=xl/sharedStrings.xml><?xml version="1.0" encoding="utf-8"?>
<sst xmlns="http://schemas.openxmlformats.org/spreadsheetml/2006/main" count="176" uniqueCount="142">
  <si>
    <t>CAGR 2023-2030</t>
  </si>
  <si>
    <t>La consommation électrique unitaire (kWh/an)</t>
  </si>
  <si>
    <t xml:space="preserve">Hypothèses : </t>
  </si>
  <si>
    <r>
      <rPr>
        <u/>
        <sz val="11"/>
        <color theme="1"/>
        <rFont val="Calibri"/>
        <family val="2"/>
        <scheme val="minor"/>
      </rPr>
      <t xml:space="preserve">Sources et hypothèses </t>
    </r>
    <r>
      <rPr>
        <sz val="11"/>
        <color theme="1"/>
        <rFont val="Calibri"/>
        <family val="2"/>
        <scheme val="minor"/>
      </rPr>
      <t xml:space="preserve">: </t>
    </r>
  </si>
  <si>
    <t xml:space="preserve">Les lunettes AR auront peut-être une empreinte entre le petit boîtier et le casque VR. </t>
  </si>
  <si>
    <t xml:space="preserve">Les casques comme l'Apple Vision Pro auront peut-être une empreinte double par rapport au casque VR (résolution 10x supérieure, processeur 2x plus puissant).  </t>
  </si>
  <si>
    <t xml:space="preserve">Capacité de la batterie (Wh) </t>
  </si>
  <si>
    <t>Autonomie (h)</t>
  </si>
  <si>
    <t>Puissance (W)</t>
  </si>
  <si>
    <t>Casques VR</t>
  </si>
  <si>
    <t>Réseaux</t>
  </si>
  <si>
    <t>Fixe filaire</t>
  </si>
  <si>
    <t>Fixe wi-fi</t>
  </si>
  <si>
    <t>Mobile</t>
  </si>
  <si>
    <t>Consommation / an à 1h / jour (kWh)</t>
  </si>
  <si>
    <t xml:space="preserve">En première approche, la part des serveurs et content delivery network est négligée : </t>
  </si>
  <si>
    <t xml:space="preserve">Nombre de terminaux VR à avoir en usage en 2030 pour la méta-conférence (millions) </t>
  </si>
  <si>
    <t>Nombre de terminaux VR en usage pour la méta-conférence (millions)</t>
  </si>
  <si>
    <t>Nombre de terminaux VR à produire pour la méta-conférence (millions)</t>
  </si>
  <si>
    <t xml:space="preserve">Immersion : terminaux </t>
  </si>
  <si>
    <t xml:space="preserve">Simultanéité : réseaux </t>
  </si>
  <si>
    <t xml:space="preserve">Terminaux </t>
  </si>
  <si>
    <t xml:space="preserve">Réseaux </t>
  </si>
  <si>
    <t>Conso (TWh)</t>
  </si>
  <si>
    <t>Trafic 2030 (EB)</t>
  </si>
  <si>
    <t>Fabrication : Energie (TWh)</t>
  </si>
  <si>
    <t>Utilisation : Electricité (TWh)</t>
  </si>
  <si>
    <t>Fabrication</t>
  </si>
  <si>
    <t xml:space="preserve">Utilisation </t>
  </si>
  <si>
    <t>Total</t>
  </si>
  <si>
    <t>Ajout pour la méta-conférence</t>
  </si>
  <si>
    <t xml:space="preserve">Pour un petit boîtier dans lequel s'insère un smartphone : 15kgCO2eq [Andrae, 2017] </t>
  </si>
  <si>
    <t>Pour un casque VR calcul intégré, écran OLED, sur batterie : 90 kgCO2eq [CEPIR, 2023]</t>
  </si>
  <si>
    <t>Les télétravailleurs en méta-conférence passent 1h par jour : [Gartner, 2022]</t>
  </si>
  <si>
    <t>Pour un casque VR calcul intégré, écran OLED, sur batterie : 14Wh [CEPIR, 2023]</t>
  </si>
  <si>
    <t>Valeurs de débits comparatives : 50 Mbps (downlink), 10 Mbps (uplink), l'usager AR consomme 12 fois plus de ressources que l'usager VOD : 3x plus de bits, 4x plus de ressources pour de meilleures latences-fiabilités [Ericsson, 2023]</t>
  </si>
  <si>
    <t>Références</t>
  </si>
  <si>
    <t>Cepir, 2023</t>
  </si>
  <si>
    <r>
      <t xml:space="preserve">CEPIR. (2023). </t>
    </r>
    <r>
      <rPr>
        <i/>
        <sz val="10"/>
        <color rgb="FF00005A"/>
        <rFont val="Arial"/>
        <family val="2"/>
      </rPr>
      <t>Cas d’Etude Pour un Immersif Responsable, webinaire de restitution intermédiaire</t>
    </r>
    <r>
      <rPr>
        <sz val="10"/>
        <color rgb="FF00005A"/>
        <rFont val="Arial"/>
        <family val="2"/>
      </rPr>
      <t>. https://www.cepir.info/webinaire-juin-2023</t>
    </r>
  </si>
  <si>
    <t>Ericsson, 2023</t>
  </si>
  <si>
    <r>
      <t xml:space="preserve">Ericsson. (2023). </t>
    </r>
    <r>
      <rPr>
        <i/>
        <sz val="10"/>
        <color rgb="FF00005A"/>
        <rFont val="Arial"/>
        <family val="2"/>
      </rPr>
      <t>AR uptake enabled by mobile networks, Ericsson Mobility Report</t>
    </r>
    <r>
      <rPr>
        <sz val="10"/>
        <color rgb="FF00005A"/>
        <rFont val="Arial"/>
        <family val="2"/>
      </rPr>
      <t>. https://www.ericsson.com/en/reports-and-papers/mobility-report/reports/june-2023</t>
    </r>
  </si>
  <si>
    <t>Gartner, 2022</t>
  </si>
  <si>
    <r>
      <t xml:space="preserve">Gartner. (2022). </t>
    </r>
    <r>
      <rPr>
        <i/>
        <sz val="10"/>
        <color rgb="FF00005A"/>
        <rFont val="Arial"/>
        <family val="2"/>
      </rPr>
      <t>Qu’est-ce qu’un metaverse ? Devez-vous investir dans ce domaine ?</t>
    </r>
    <r>
      <rPr>
        <sz val="10"/>
        <color rgb="FF00005A"/>
        <rFont val="Arial"/>
        <family val="2"/>
      </rPr>
      <t xml:space="preserve"> https://www.gartner.fr/fr/articles/qu-est-ce-qu-un-metavers</t>
    </r>
  </si>
  <si>
    <t>Intel, 2021</t>
  </si>
  <si>
    <r>
      <t xml:space="preserve">Intel. (2021). </t>
    </r>
    <r>
      <rPr>
        <i/>
        <sz val="10"/>
        <color rgb="FF00005A"/>
        <rFont val="Arial"/>
        <family val="2"/>
      </rPr>
      <t>Powering the metaverse. Intel is working on the plumbing for a persistent and immersive internet</t>
    </r>
    <r>
      <rPr>
        <sz val="10"/>
        <color rgb="FF00005A"/>
        <rFont val="Arial"/>
        <family val="2"/>
      </rPr>
      <t>. https://www.intel.com/content/www/us/en/newsroom/opinion/powering-metaverse.html</t>
    </r>
  </si>
  <si>
    <t>The Shift Project, 2021</t>
  </si>
  <si>
    <r>
      <t xml:space="preserve">The Shift Project. (2021). </t>
    </r>
    <r>
      <rPr>
        <i/>
        <sz val="10"/>
        <color rgb="FF00005A"/>
        <rFont val="Arial"/>
        <family val="2"/>
      </rPr>
      <t>Impact environnemental du numérique : Tendances à 5 ans et gouvernance de la 5G</t>
    </r>
    <r>
      <rPr>
        <sz val="10"/>
        <color rgb="FF00005A"/>
        <rFont val="Arial"/>
        <family val="2"/>
      </rPr>
      <t>. The Shift Project. https://theshiftproject.org/article/impact-environnemental-du-numerique-5g-nouvelle-etude-du-shift/</t>
    </r>
  </si>
  <si>
    <t>Utilisés pour comparaison</t>
  </si>
  <si>
    <t>Andrae, 2017</t>
  </si>
  <si>
    <r>
      <t xml:space="preserve">Andrae A. (2017). </t>
    </r>
    <r>
      <rPr>
        <i/>
        <sz val="10"/>
        <color rgb="FF00005A"/>
        <rFont val="Arial"/>
        <family val="2"/>
      </rPr>
      <t>Life Cycle Assessment of a Virtual Reality Device.</t>
    </r>
    <r>
      <rPr>
        <sz val="10"/>
        <color rgb="FF00005A"/>
        <rFont val="Arial"/>
        <family val="2"/>
      </rPr>
      <t xml:space="preserve"> https://www.mdpi.com/2078-1547/8/2/15</t>
    </r>
  </si>
  <si>
    <t>Cisco, 2020</t>
  </si>
  <si>
    <r>
      <t xml:space="preserve">Cisco. (2020). </t>
    </r>
    <r>
      <rPr>
        <i/>
        <sz val="10"/>
        <color rgb="FF00005A"/>
        <rFont val="Arial"/>
        <family val="2"/>
      </rPr>
      <t>Cisco Annual Internet Report 2018-2023</t>
    </r>
    <r>
      <rPr>
        <sz val="10"/>
        <color rgb="FF00005A"/>
        <rFont val="Arial"/>
        <family val="2"/>
      </rPr>
      <t>. https://www.cisco.com/c/en/us/solutions/collateral/executive-perspectives/annual-internet-report/white-paper-c11-741490.html</t>
    </r>
  </si>
  <si>
    <t>Microsoft, 2015</t>
  </si>
  <si>
    <r>
      <t xml:space="preserve">Microsoft. (2015, avril 29). </t>
    </r>
    <r>
      <rPr>
        <i/>
        <sz val="10"/>
        <color rgb="FF00005A"/>
        <rFont val="Arial"/>
        <family val="2"/>
      </rPr>
      <t>Add-ins for Outlook.com—Build an experience that reaches 400 million users</t>
    </r>
    <r>
      <rPr>
        <sz val="10"/>
        <color rgb="FF00005A"/>
        <rFont val="Arial"/>
        <family val="2"/>
      </rPr>
      <t>. https://www.microsoft.com/en-us/microsoft-365/blog/2015/04/29/add-ins-for-outlook-com-build-an-experience-that-reaches-400-million-users</t>
    </r>
  </si>
  <si>
    <t>Greenspector, 2021</t>
  </si>
  <si>
    <t>L’empreinte carbone de la fabrication (kgCO2e/unité)</t>
  </si>
  <si>
    <t>Nombre de terminaux produits (millions d’unités)</t>
  </si>
  <si>
    <r>
      <t>Greenspector. (2021).</t>
    </r>
    <r>
      <rPr>
        <i/>
        <sz val="10"/>
        <color rgb="FF00005A"/>
        <rFont val="Arial"/>
        <family val="2"/>
      </rPr>
      <t xml:space="preserve"> Comment Greenspector évalue l’empreinte environnementale de l’utilisation d’un service numérique ?</t>
    </r>
    <r>
      <rPr>
        <sz val="10"/>
        <color rgb="FF00005A"/>
        <rFont val="Arial"/>
        <family val="2"/>
      </rPr>
      <t xml:space="preserve">  https://greenspector.com/fr/methodologie-calcul-empreinte-environnementale/</t>
    </r>
  </si>
  <si>
    <t>Durée de vie (ans)</t>
  </si>
  <si>
    <t>7 constructeurs de casque proposant des modèles entre 2015 et 2024 : Meta / Oculus (10 modèles), HTC Vive (7 modèles), Pico (5 modèles), Samsung (3 modèles), Varjo (3 modèles) [Wikipedia, 2024]</t>
  </si>
  <si>
    <t>La gamme est renouvellée tous les 1 +/- 0.76 ans (calcul)</t>
  </si>
  <si>
    <t xml:space="preserve">Nous avons retenu 2 ans, par croisement. </t>
  </si>
  <si>
    <t>HTC Vive</t>
  </si>
  <si>
    <t>HP Reverb</t>
  </si>
  <si>
    <t>Meta / Oculus</t>
  </si>
  <si>
    <t>Pico</t>
  </si>
  <si>
    <t>Samsung</t>
  </si>
  <si>
    <t>Varjo</t>
  </si>
  <si>
    <t>Wikipedia, 2024</t>
  </si>
  <si>
    <t>Wikipédia. (2024). List of virtual reality headsets. https://en.wikipedia.org/w/index.php?title=List_of_virtual_reality_headsets&amp;oldid=1208303712</t>
  </si>
  <si>
    <t>Pour comparaison : part dans le cas Cloud Computing : &lt; 10% [ADEME, 2022]</t>
  </si>
  <si>
    <t xml:space="preserve">Pour comparaison : part dans un cas traité par Greenspector : &lt;7% [Greenspector, 2021] </t>
  </si>
  <si>
    <r>
      <t xml:space="preserve">ADEME. (2022). </t>
    </r>
    <r>
      <rPr>
        <i/>
        <sz val="11"/>
        <color theme="1"/>
        <rFont val="Calibri"/>
        <family val="2"/>
        <scheme val="minor"/>
      </rPr>
      <t>Evaluation de l’impact environnemental de la digitalisation des services culturels</t>
    </r>
    <r>
      <rPr>
        <sz val="11"/>
        <color theme="1"/>
        <rFont val="Calibri"/>
        <family val="2"/>
        <scheme val="minor"/>
      </rPr>
      <t>. https://librairie.ademe.fr/dechets-economie-circulaire/5942-evaluation-de-l-impact-environnemental-de-la-digitalisation-des-services-culturels.html</t>
    </r>
  </si>
  <si>
    <t>ADEME, 2022</t>
  </si>
  <si>
    <t>Statista, 2023b</t>
  </si>
  <si>
    <t>Statista Research Department. (2023b, juillet 21). Number of smartphones sold to end users worldwide from 2007 to 2022. https://www.statista.com/statistics/263437/global-smartphone-sales-to-end-users-since-2007/</t>
  </si>
  <si>
    <t xml:space="preserve">Hypothèse terminaux </t>
  </si>
  <si>
    <t>Hypothèse réseaux</t>
  </si>
  <si>
    <t>Hypothèse : d'ici 2030, 400 millions d'utilisateurs (même nombre d'utilisateurs qu'Outlook en 2015 [Microsoft, 2015])
1h d'utilisation par jour en 2030 [Gartner, 2022]
Durée de vie des casques : 2 ans (hypothèse à partir (Statista Research Department, 2023b; Wikipédia, 2024b))
Casque VR : OLED, batterie, calcul intégré [CEPIR, 2023]</t>
  </si>
  <si>
    <t>Nombre de terminaux connectés (millions d'unités)</t>
  </si>
  <si>
    <t>[1]</t>
  </si>
  <si>
    <t>[2]</t>
  </si>
  <si>
    <t>[3]</t>
  </si>
  <si>
    <t>[4]</t>
  </si>
  <si>
    <t xml:space="preserve">Onglet </t>
  </si>
  <si>
    <t>[5]</t>
  </si>
  <si>
    <t>[6]</t>
  </si>
  <si>
    <t>[7]</t>
  </si>
  <si>
    <t>Données additionnelles (total) (EB)</t>
  </si>
  <si>
    <t>Débit additionnel (Mpbs)</t>
  </si>
  <si>
    <t>Hypothèse : d'ici 2030, 400 millions d'utilisateurs (même nombre d'utilisateurs qu'Outlook en 2015 [Microsoft, 2015])
1h d'utilisation par jour en 2030 se substituant à la visioconférence [Gartner, 2022]
Débit descendant : 50 Mbps [Ericsson, 2023]</t>
  </si>
  <si>
    <t>Nombre d'heures de métaconférence (h)</t>
  </si>
  <si>
    <t>Energie primaire (TWh)</t>
  </si>
  <si>
    <r>
      <t>Emissions GES (MtCO</t>
    </r>
    <r>
      <rPr>
        <b/>
        <vertAlign val="subscript"/>
        <sz val="11"/>
        <color rgb="FF804000"/>
        <rFont val="Calibri"/>
        <family val="2"/>
        <scheme val="minor"/>
      </rPr>
      <t>2</t>
    </r>
    <r>
      <rPr>
        <b/>
        <sz val="11"/>
        <color rgb="FF804000"/>
        <rFont val="Calibri"/>
        <family val="2"/>
        <scheme val="minor"/>
      </rPr>
      <t>e)</t>
    </r>
  </si>
  <si>
    <t>Energie finale (TWh)</t>
  </si>
  <si>
    <r>
      <t>Empreinte carbone de la fabrication (in 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e/unité)</t>
    </r>
  </si>
  <si>
    <t>Consommation électrique unitaire (in kWh/an)</t>
  </si>
  <si>
    <t>Intensité énergétique de la fabrication (in kWh/unité)</t>
  </si>
  <si>
    <r>
      <t>Fabrication : Emissions de GES (MtCO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e)</t>
    </r>
  </si>
  <si>
    <r>
      <t>Utilisation : Emissions de GES (MtCO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e)</t>
    </r>
  </si>
  <si>
    <t>Calcul intermédiaire</t>
  </si>
  <si>
    <t>Efficacité énergétique : fixe filaire (TWh / EB)</t>
  </si>
  <si>
    <t>Efficacité energétique : fixe wi-fi (TWh / EB)</t>
  </si>
  <si>
    <t>Efficacité énergétique : mobile (TWh / EB)</t>
  </si>
  <si>
    <t>Modèle Lean_ICT : lien</t>
  </si>
  <si>
    <r>
      <t>Emissions de GES (MtCO</t>
    </r>
    <r>
      <rPr>
        <b/>
        <vertAlign val="subscript"/>
        <sz val="11"/>
        <color rgb="FFFFFFFF"/>
        <rFont val="Calibri"/>
        <family val="2"/>
        <scheme val="minor"/>
      </rPr>
      <t>2</t>
    </r>
    <r>
      <rPr>
        <b/>
        <sz val="11"/>
        <color rgb="FFFFFFFF"/>
        <rFont val="Calibri"/>
        <family val="2"/>
        <scheme val="minor"/>
      </rPr>
      <t>e)</t>
    </r>
  </si>
  <si>
    <r>
      <t>Intensité GES de l'électricité (kgCO</t>
    </r>
    <r>
      <rPr>
        <vertAlign val="subscript"/>
        <sz val="11"/>
        <color rgb="FF002060"/>
        <rFont val="Calibri"/>
        <family val="2"/>
        <scheme val="minor"/>
      </rPr>
      <t>2</t>
    </r>
    <r>
      <rPr>
        <sz val="11"/>
        <color rgb="FF002060"/>
        <rFont val="Calibri"/>
        <family val="2"/>
        <scheme val="minor"/>
      </rPr>
      <t>e / kWh)</t>
    </r>
  </si>
  <si>
    <r>
      <t xml:space="preserve">Emissions GES / énergie primaire (réseaux) </t>
    </r>
    <r>
      <rPr>
        <i/>
        <sz val="11"/>
        <color theme="1"/>
        <rFont val="Calibri"/>
        <family val="2"/>
        <scheme val="minor"/>
      </rPr>
      <t>(attention ordre de grandeur)</t>
    </r>
  </si>
  <si>
    <r>
      <t xml:space="preserve">Fabrication des réseaux / Electricité des réseaux </t>
    </r>
    <r>
      <rPr>
        <i/>
        <sz val="11"/>
        <color theme="1"/>
        <rFont val="Calibri"/>
        <family val="2"/>
        <scheme val="minor"/>
      </rPr>
      <t>(attention ordre de grandeur)</t>
    </r>
  </si>
  <si>
    <t>Données de sortie</t>
  </si>
  <si>
    <t>Données d'entrées</t>
  </si>
  <si>
    <t>Hypothèse centre de données</t>
  </si>
  <si>
    <t>Non pris en compte</t>
  </si>
  <si>
    <t>Voir onglet (8]</t>
  </si>
  <si>
    <t xml:space="preserve">Hypothèse : </t>
  </si>
  <si>
    <t xml:space="preserve">En l'absence de projection de tendance, et pour répondre à la question "à quelles émissions nous engagent l'adoption de la métaconférence", nous considérons ce chiffre de 400 millions d'utilisateurs en 2030 </t>
  </si>
  <si>
    <t>Chiffre qui est le nombre d'utilisateurs Outlook en 2015 [Microsoft, 2015]</t>
  </si>
  <si>
    <t xml:space="preserve">Ordre de grandeur aux utilisateurs de visioconférence en 2023 (sous hypothèse que chaque utilisateur l’utilise 1 heure par jour) </t>
  </si>
  <si>
    <t xml:space="preserve">puisque Zoom devrait comptabiliser 3,3 milliards de minutes [Search logistics, 2023] et détenir 40% du marché [webinarcare, 2023]. </t>
  </si>
  <si>
    <t>webinarcare. (2023). Video Conferencing Statistics. https://webinarcare.com/best-video-conferencing-software/video-conferencing-statistics/</t>
  </si>
  <si>
    <t>Search logistics. (2023). Zoom User Statistics. https://www.searchlogistics.com/learn/statistics/zoom-user-statistics/</t>
  </si>
  <si>
    <t>Search logistics, 2023</t>
  </si>
  <si>
    <t>webinarcare, 2023</t>
  </si>
  <si>
    <t>Par comparaison aux USA, un smartphone est remplacé tous les 2.67 ans [Statista, 2023b]</t>
  </si>
  <si>
    <t>Nombre de terminaux produits (millions)</t>
  </si>
  <si>
    <t>Voir onglet [1] et [2]</t>
  </si>
  <si>
    <t>Nombre de terminaux connectés (millions)</t>
  </si>
  <si>
    <t>Intensité energétique de la fabrication (kWh/unité)</t>
  </si>
  <si>
    <t xml:space="preserve">Sources et hypothèses : </t>
  </si>
  <si>
    <t>En 2023, 202 kWh/an (modèle Lean_ICT TSP, scénario Conservative)</t>
  </si>
  <si>
    <t xml:space="preserve">La même croissance que celle de l'empreinte carbone est appliquée. </t>
  </si>
  <si>
    <t>CAGR 2023-2030 appliqué</t>
  </si>
  <si>
    <t>Empreinte carbone fabrication 2023 (kWh / unité)</t>
  </si>
  <si>
    <t>Intensité energétique fabrication 2023 (kWh / unité)</t>
  </si>
  <si>
    <t>Intensité energétique fabrication 2030 (kWh / unité)</t>
  </si>
  <si>
    <t>En 2026, 25% des personnes passeront 1h dans le métavers [Gartner, 2022]</t>
  </si>
  <si>
    <t xml:space="preserve">La projection de Gartner est décalée à 2030. </t>
  </si>
  <si>
    <t xml:space="preserve">Ils substituent 1h de métavers à 1h de VOD : 50 Mbps (VR)  contre 3 Mbps de débit descendant [CISCO, 2020] </t>
  </si>
  <si>
    <t>Trafic</t>
  </si>
  <si>
    <t>Débit additionnel (Mbps)</t>
  </si>
  <si>
    <t>Valeur moyenne dans le bas de la fourchette : 500 Mbps (UHD VR), 167 Mbps (HD VR), 30 Mbps (cloud gaming), 17 Mbps (VR) [CISCO, 2020]</t>
  </si>
  <si>
    <t>Nombre d'heures / utilisateur /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</si>
</sst>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00_-;\-* #,##0.0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804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Verdana"/>
      <family val="2"/>
    </font>
    <font>
      <sz val="10"/>
      <color rgb="FF00005A"/>
      <name val="Arial"/>
      <family val="2"/>
    </font>
    <font>
      <i/>
      <sz val="10"/>
      <color rgb="FF00005A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rgb="FF804000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rgb="FFFFFFFF"/>
      <name val="Calibri"/>
      <family val="2"/>
      <scheme val="minor"/>
    </font>
    <font>
      <vertAlign val="subscript"/>
      <sz val="11"/>
      <color rgb="FF002060"/>
      <name val="Calibri"/>
      <family val="2"/>
      <scheme val="minor"/>
    </font>
    <font>
      <b/>
      <sz val="14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82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rgb="FF002060"/>
      </bottom>
      <diagonal/>
    </border>
    <border>
      <left style="thin">
        <color indexed="64"/>
      </left>
      <right style="thin">
        <color indexed="64"/>
      </right>
      <top style="dotted">
        <color rgb="FF0020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indexed="64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dotted">
        <color rgb="FF002060"/>
      </bottom>
      <diagonal/>
    </border>
    <border>
      <left/>
      <right style="thin">
        <color indexed="64"/>
      </right>
      <top style="thin">
        <color rgb="FF002060"/>
      </top>
      <bottom style="dotted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rgb="FF002060"/>
      </top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164" fontId="0" fillId="0" borderId="0" xfId="1" applyNumberFormat="1" applyFont="1"/>
    <xf numFmtId="0" fontId="0" fillId="0" borderId="1" xfId="1" applyNumberFormat="1" applyFont="1" applyBorder="1" applyAlignment="1">
      <alignment horizontal="center"/>
    </xf>
    <xf numFmtId="164" fontId="0" fillId="0" borderId="0" xfId="0" applyNumberFormat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1" xfId="1" applyNumberFormat="1" applyFont="1" applyBorder="1" applyAlignment="1">
      <alignment horizontal="left" wrapText="1"/>
    </xf>
    <xf numFmtId="0" fontId="0" fillId="0" borderId="2" xfId="0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0" fillId="0" borderId="0" xfId="0" applyAlignment="1"/>
    <xf numFmtId="43" fontId="0" fillId="0" borderId="0" xfId="1" applyFont="1"/>
    <xf numFmtId="0" fontId="0" fillId="0" borderId="0" xfId="0" applyFont="1"/>
    <xf numFmtId="0" fontId="5" fillId="0" borderId="0" xfId="0" applyFont="1" applyFill="1" applyBorder="1"/>
    <xf numFmtId="0" fontId="4" fillId="0" borderId="0" xfId="2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9" fillId="0" borderId="0" xfId="3"/>
    <xf numFmtId="0" fontId="5" fillId="0" borderId="1" xfId="0" applyFont="1" applyBorder="1" applyAlignment="1">
      <alignment vertical="center" wrapText="1"/>
    </xf>
    <xf numFmtId="9" fontId="5" fillId="0" borderId="1" xfId="0" applyNumberFormat="1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0" fillId="0" borderId="8" xfId="0" applyFont="1" applyBorder="1" applyAlignment="1">
      <alignment horizontal="justify"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0" fillId="0" borderId="6" xfId="0" applyFont="1" applyBorder="1" applyAlignment="1">
      <alignment horizontal="justify" vertical="center"/>
    </xf>
    <xf numFmtId="165" fontId="0" fillId="0" borderId="1" xfId="0" applyNumberFormat="1" applyBorder="1" applyAlignment="1">
      <alignment horizontal="center" vertical="center"/>
    </xf>
    <xf numFmtId="0" fontId="10" fillId="0" borderId="9" xfId="0" applyFont="1" applyBorder="1" applyAlignment="1">
      <alignment horizontal="justify" vertical="center"/>
    </xf>
    <xf numFmtId="165" fontId="0" fillId="0" borderId="1" xfId="1" applyNumberFormat="1" applyFont="1" applyBorder="1"/>
    <xf numFmtId="0" fontId="12" fillId="0" borderId="0" xfId="0" applyFont="1"/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2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15" fillId="0" borderId="7" xfId="0" applyFont="1" applyBorder="1" applyAlignment="1">
      <alignment vertical="center" wrapText="1"/>
    </xf>
    <xf numFmtId="0" fontId="0" fillId="0" borderId="0" xfId="0" applyFont="1" applyFill="1" applyBorder="1"/>
    <xf numFmtId="0" fontId="15" fillId="0" borderId="13" xfId="0" applyFont="1" applyBorder="1" applyAlignment="1">
      <alignment vertical="center" wrapText="1"/>
    </xf>
    <xf numFmtId="0" fontId="16" fillId="0" borderId="0" xfId="0" applyFont="1"/>
    <xf numFmtId="0" fontId="17" fillId="0" borderId="0" xfId="0" applyFont="1"/>
    <xf numFmtId="164" fontId="0" fillId="0" borderId="1" xfId="1" applyNumberFormat="1" applyFont="1" applyBorder="1"/>
    <xf numFmtId="0" fontId="0" fillId="0" borderId="1" xfId="0" applyFill="1" applyBorder="1"/>
    <xf numFmtId="43" fontId="0" fillId="0" borderId="1" xfId="1" applyFont="1" applyBorder="1"/>
    <xf numFmtId="166" fontId="0" fillId="0" borderId="1" xfId="0" applyNumberFormat="1" applyBorder="1"/>
    <xf numFmtId="0" fontId="5" fillId="0" borderId="0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6" xfId="0" applyBorder="1"/>
    <xf numFmtId="0" fontId="5" fillId="0" borderId="1" xfId="0" applyFont="1" applyBorder="1"/>
    <xf numFmtId="43" fontId="0" fillId="0" borderId="5" xfId="1" applyFont="1" applyBorder="1"/>
    <xf numFmtId="43" fontId="0" fillId="0" borderId="18" xfId="1" applyFont="1" applyBorder="1"/>
    <xf numFmtId="0" fontId="0" fillId="5" borderId="1" xfId="0" applyFill="1" applyBorder="1" applyAlignment="1">
      <alignment horizontal="right"/>
    </xf>
    <xf numFmtId="0" fontId="8" fillId="0" borderId="0" xfId="0" applyFont="1"/>
    <xf numFmtId="0" fontId="5" fillId="0" borderId="1" xfId="0" applyFont="1" applyFill="1" applyBorder="1"/>
    <xf numFmtId="166" fontId="0" fillId="0" borderId="1" xfId="1" applyNumberFormat="1" applyFont="1" applyBorder="1"/>
    <xf numFmtId="0" fontId="0" fillId="0" borderId="1" xfId="0" applyBorder="1" applyAlignment="1">
      <alignment wrapText="1"/>
    </xf>
    <xf numFmtId="0" fontId="0" fillId="0" borderId="8" xfId="0" applyBorder="1" applyAlignment="1">
      <alignment vertical="center" wrapText="1"/>
    </xf>
    <xf numFmtId="164" fontId="5" fillId="0" borderId="4" xfId="0" applyNumberFormat="1" applyFont="1" applyBorder="1" applyAlignment="1"/>
    <xf numFmtId="43" fontId="0" fillId="0" borderId="1" xfId="1" applyNumberFormat="1" applyFont="1" applyFill="1" applyBorder="1" applyAlignment="1">
      <alignment vertical="center"/>
    </xf>
    <xf numFmtId="0" fontId="20" fillId="0" borderId="4" xfId="0" applyNumberFormat="1" applyFont="1" applyBorder="1" applyAlignment="1">
      <alignment horizontal="center"/>
    </xf>
    <xf numFmtId="43" fontId="20" fillId="0" borderId="4" xfId="0" applyNumberFormat="1" applyFont="1" applyBorder="1" applyAlignment="1">
      <alignment horizontal="center"/>
    </xf>
    <xf numFmtId="164" fontId="20" fillId="0" borderId="4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</cellXfs>
  <cellStyles count="4">
    <cellStyle name="Lien hypertexte" xfId="2" builtinId="8"/>
    <cellStyle name="Milliers" xfId="1" builtinId="3"/>
    <cellStyle name="Normal" xfId="0" builtinId="0"/>
    <cellStyle name="Normal 2" xfId="3" xr:uid="{701CEF42-C84A-407A-A21A-1CBBCEE82A03}"/>
  </cellStyles>
  <dxfs count="0"/>
  <tableStyles count="0" defaultTableStyle="TableStyleMedium2" defaultPivotStyle="PivotStyleLight16"/>
  <colors>
    <mruColors>
      <color rgb="FF002060"/>
      <color rgb="FFFF8200"/>
      <color rgb="FFC0C0C0"/>
      <color rgb="FFFFFFFF"/>
      <color rgb="FF804000"/>
      <color rgb="FFFFB3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  <cx:data id="3">
      <cx:numDim type="val">
        <cx:f>_xlchart.v1.7</cx:f>
      </cx:numDim>
    </cx:data>
    <cx:data id="4">
      <cx:numDim type="val">
        <cx:f>_xlchart.v1.9</cx:f>
      </cx:numDim>
    </cx:data>
    <cx:data id="5">
      <cx:numDim type="val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 sz="1000">
                <a:solidFill>
                  <a:srgbClr val="002060"/>
                </a:solidFill>
              </a:defRPr>
            </a:pPr>
            <a:r>
              <a:rPr lang="en-US" sz="1000" i="1">
                <a:solidFill>
                  <a:srgbClr val="002060"/>
                </a:solidFill>
                <a:effectLst/>
              </a:rPr>
              <a:t>Median number between each new headset on the market by hardware provider, data source: List of virtual reality headsets. (2024). In Wikipedia. </a:t>
            </a:r>
            <a:r>
              <a:rPr lang="en-US" sz="1000" i="1" u="sng">
                <a:solidFill>
                  <a:srgbClr val="002060"/>
                </a:solidFill>
                <a:effectLst/>
              </a:rPr>
              <a:t>https://en.wikipedia.org/w/index.php?title=List_of_virtual_reality_headsets&amp;oldid=1208303712</a:t>
            </a:r>
            <a:r>
              <a:rPr lang="en-US" sz="1000" i="1">
                <a:solidFill>
                  <a:srgbClr val="002060"/>
                </a:solidFill>
                <a:effectLst/>
              </a:rPr>
              <a:t> - CC BY-SA 4.0</a:t>
            </a:r>
            <a:endParaRPr lang="fr-FR" sz="1000" i="1">
              <a:solidFill>
                <a:srgbClr val="002060"/>
              </a:solidFill>
              <a:effectLst/>
            </a:endParaRPr>
          </a:p>
        </cx:rich>
      </cx:tx>
    </cx:title>
    <cx:plotArea>
      <cx:plotAreaRegion>
        <cx:plotSurface>
          <cx:spPr>
            <a:ln>
              <a:solidFill>
                <a:srgbClr val="002060"/>
              </a:solidFill>
            </a:ln>
          </cx:spPr>
        </cx:plotSurface>
        <cx:series layoutId="boxWhisker" uniqueId="{9D2E17E1-9D7F-4C13-99F2-88D40D98CCB4}">
          <cx:tx>
            <cx:txData>
              <cx:f>_xlchart.v1.0</cx:f>
              <cx:v>HTC Vive</cx:v>
            </cx:txData>
          </cx:tx>
          <cx:dataId val="0"/>
          <cx:layoutPr>
            <cx:visibility meanLine="1" meanMarker="1" nonoutliers="0" outliers="1"/>
            <cx:statistics quartileMethod="exclusive"/>
          </cx:layoutPr>
        </cx:series>
        <cx:series layoutId="boxWhisker" uniqueId="{72405AF6-6F8E-465B-996D-9B1F1332A06D}">
          <cx:tx>
            <cx:txData>
              <cx:f>_xlchart.v1.2</cx:f>
              <cx:v>HP Reverb</cx:v>
            </cx:txData>
          </cx:tx>
          <cx:dataId val="1"/>
          <cx:layoutPr>
            <cx:visibility meanLine="1" meanMarker="1" nonoutliers="0" outliers="1"/>
            <cx:statistics quartileMethod="exclusive"/>
          </cx:layoutPr>
        </cx:series>
        <cx:series layoutId="boxWhisker" uniqueId="{FDC12517-936E-4F4E-AD82-EC86F735608E}">
          <cx:tx>
            <cx:txData>
              <cx:f>_xlchart.v1.4</cx:f>
              <cx:v>Meta / Oculus</cx:v>
            </cx:txData>
          </cx:tx>
          <cx:dataId val="2"/>
          <cx:layoutPr>
            <cx:visibility meanLine="1" meanMarker="1" nonoutliers="0" outliers="1"/>
            <cx:statistics quartileMethod="exclusive"/>
          </cx:layoutPr>
        </cx:series>
        <cx:series layoutId="boxWhisker" uniqueId="{C1DF7507-603E-4E26-872C-0E7368AE40D0}">
          <cx:tx>
            <cx:txData>
              <cx:f>_xlchart.v1.6</cx:f>
              <cx:v>Pico</cx:v>
            </cx:txData>
          </cx:tx>
          <cx:dataId val="3"/>
          <cx:layoutPr>
            <cx:visibility meanLine="1" meanMarker="1" nonoutliers="0" outliers="1"/>
            <cx:statistics quartileMethod="exclusive"/>
          </cx:layoutPr>
        </cx:series>
        <cx:series layoutId="boxWhisker" uniqueId="{9702087F-F124-46DF-A94F-98DFB1C9D03F}">
          <cx:tx>
            <cx:txData>
              <cx:f>_xlchart.v1.8</cx:f>
              <cx:v>Samsung</cx:v>
            </cx:txData>
          </cx:tx>
          <cx:dataId val="4"/>
          <cx:layoutPr>
            <cx:visibility meanLine="1" meanMarker="1" nonoutliers="0" outliers="1"/>
            <cx:statistics quartileMethod="exclusive"/>
          </cx:layoutPr>
        </cx:series>
        <cx:series layoutId="boxWhisker" uniqueId="{C83C37B9-342D-42F6-9518-BD76C375021B}">
          <cx:tx>
            <cx:txData>
              <cx:f>_xlchart.v1.10</cx:f>
              <cx:v>Varjo</cx:v>
            </cx:txData>
          </cx:tx>
          <cx:dataId val="5"/>
          <cx:layoutPr>
            <cx:visibility meanLine="1" meanMarker="1" nonoutliers="0" outliers="1"/>
            <cx:statistics quartileMethod="exclusive"/>
          </cx:layoutPr>
        </cx:series>
      </cx:plotAreaRegion>
      <cx:axis id="0">
        <cx:catScaling gapWidth="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rgbClr val="002060"/>
                </a:solidFill>
              </a:defRPr>
            </a:pPr>
            <a:endParaRPr lang="fr-FR" sz="900" b="0" i="0" u="none" strike="noStrike" baseline="0">
              <a:solidFill>
                <a:srgbClr val="002060"/>
              </a:solidFill>
              <a:latin typeface="Calibri" panose="020F0502020204030204"/>
            </a:endParaRPr>
          </a:p>
        </cx:txPr>
      </cx:axis>
      <cx:axis id="1">
        <cx:valScaling/>
        <cx:majorGridlines>
          <cx:spPr>
            <a:ln>
              <a:solidFill>
                <a:srgbClr val="002060"/>
              </a:solidFill>
            </a:ln>
          </cx:spPr>
        </cx:majorGridlines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rgbClr val="002060"/>
                </a:solidFill>
              </a:defRPr>
            </a:pPr>
            <a:endParaRPr lang="fr-FR" sz="900" b="0" i="0" u="none" strike="noStrike" baseline="0">
              <a:solidFill>
                <a:srgbClr val="002060"/>
              </a:solidFill>
              <a:latin typeface="Calibri" panose="020F0502020204030204"/>
            </a:endParaRPr>
          </a:p>
        </cx:txPr>
      </cx:axis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rgbClr val="002060"/>
              </a:solidFill>
            </a:defRPr>
          </a:pPr>
          <a:endParaRPr lang="fr-FR" sz="900" b="0" i="0" u="none" strike="noStrike" baseline="0">
            <a:solidFill>
              <a:srgbClr val="002060"/>
            </a:solidFill>
            <a:latin typeface="Calibri" panose="020F0502020204030204"/>
          </a:endParaRPr>
        </a:p>
      </cx:txPr>
    </cx:legend>
  </cx:chart>
  <cx:spPr>
    <a:solidFill>
      <a:srgbClr val="FFFFFF"/>
    </a:solidFill>
  </cx:spPr>
</cx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753080</xdr:colOff>
      <xdr:row>11</xdr:row>
      <xdr:rowOff>39233</xdr:rowOff>
    </xdr:from>
    <xdr:to>
      <xdr:col>6</xdr:col>
      <xdr:colOff>734786</xdr:colOff>
      <xdr:row>29</xdr:row>
      <xdr:rowOff>154214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72CB68BB-EC62-416A-A994-12CA08F50A8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3080" y="2064883"/>
              <a:ext cx="5131556" cy="342968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hème1">
  <a:themeElements>
    <a:clrScheme name="TSP 2021">
      <a:dk1>
        <a:srgbClr val="00005A"/>
      </a:dk1>
      <a:lt1>
        <a:srgbClr val="00008E"/>
      </a:lt1>
      <a:dk2>
        <a:srgbClr val="0028DC"/>
      </a:dk2>
      <a:lt2>
        <a:srgbClr val="0072FF"/>
      </a:lt2>
      <a:accent1>
        <a:srgbClr val="00CAFE"/>
      </a:accent1>
      <a:accent2>
        <a:srgbClr val="B0EBFF"/>
      </a:accent2>
      <a:accent3>
        <a:srgbClr val="FFF1B7"/>
      </a:accent3>
      <a:accent4>
        <a:srgbClr val="FFDC23"/>
      </a:accent4>
      <a:accent5>
        <a:srgbClr val="FAB758"/>
      </a:accent5>
      <a:accent6>
        <a:srgbClr val="FF82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6489F-B67A-4786-9A42-C257D82A8EA4}">
  <dimension ref="B1:I9"/>
  <sheetViews>
    <sheetView tabSelected="1" zoomScale="70" zoomScaleNormal="70" workbookViewId="0">
      <selection activeCell="B2" sqref="B2:I6"/>
    </sheetView>
  </sheetViews>
  <sheetFormatPr baseColWidth="10" defaultRowHeight="14.5" x14ac:dyDescent="0.35"/>
  <cols>
    <col min="1" max="1" width="5.36328125" customWidth="1"/>
    <col min="2" max="2" width="25.81640625" customWidth="1"/>
    <col min="3" max="3" width="50.90625" customWidth="1"/>
    <col min="4" max="4" width="5.08984375" bestFit="1" customWidth="1"/>
    <col min="5" max="5" width="10.1796875" bestFit="1" customWidth="1"/>
    <col min="6" max="6" width="9.36328125" bestFit="1" customWidth="1"/>
    <col min="7" max="7" width="5.08984375" bestFit="1" customWidth="1"/>
    <col min="8" max="8" width="10.1796875" bestFit="1" customWidth="1"/>
    <col min="9" max="9" width="9.36328125" bestFit="1" customWidth="1"/>
    <col min="10" max="10" width="12.26953125" customWidth="1"/>
    <col min="11" max="11" width="9.26953125" customWidth="1"/>
    <col min="12" max="12" width="10.6328125" customWidth="1"/>
  </cols>
  <sheetData>
    <row r="1" spans="2:9" x14ac:dyDescent="0.35">
      <c r="C1" s="15"/>
      <c r="D1" s="15"/>
      <c r="E1" s="15"/>
    </row>
    <row r="2" spans="2:9" x14ac:dyDescent="0.35">
      <c r="B2" s="83" t="s">
        <v>30</v>
      </c>
      <c r="C2" s="84"/>
      <c r="D2" s="82">
        <v>2030</v>
      </c>
      <c r="E2" s="82"/>
      <c r="F2" s="82"/>
      <c r="G2" s="82"/>
      <c r="H2" s="82"/>
      <c r="I2" s="82"/>
    </row>
    <row r="3" spans="2:9" x14ac:dyDescent="0.35">
      <c r="B3" s="85"/>
      <c r="C3" s="86"/>
      <c r="D3" s="81" t="s">
        <v>93</v>
      </c>
      <c r="E3" s="81"/>
      <c r="F3" s="81"/>
      <c r="G3" s="81" t="s">
        <v>94</v>
      </c>
      <c r="H3" s="81"/>
      <c r="I3" s="81"/>
    </row>
    <row r="4" spans="2:9" x14ac:dyDescent="0.35">
      <c r="B4" s="85"/>
      <c r="C4" s="86"/>
      <c r="D4" s="26" t="s">
        <v>29</v>
      </c>
      <c r="E4" s="26" t="s">
        <v>27</v>
      </c>
      <c r="F4" s="26" t="s">
        <v>28</v>
      </c>
      <c r="G4" s="26" t="s">
        <v>29</v>
      </c>
      <c r="H4" s="26" t="s">
        <v>27</v>
      </c>
      <c r="I4" s="26" t="s">
        <v>28</v>
      </c>
    </row>
    <row r="5" spans="2:9" ht="88.5" customHeight="1" x14ac:dyDescent="0.35">
      <c r="B5" s="24" t="s">
        <v>19</v>
      </c>
      <c r="C5" s="24" t="s">
        <v>78</v>
      </c>
      <c r="D5" s="28">
        <f>E5+F5</f>
        <v>26.138058850286143</v>
      </c>
      <c r="E5" s="28">
        <f>Calcul!C27</f>
        <v>25.696554850286145</v>
      </c>
      <c r="F5" s="39">
        <f>Calcul!C29</f>
        <v>0.44150400000000012</v>
      </c>
      <c r="G5" s="28">
        <f>H5+I5</f>
        <v>93.713144281389333</v>
      </c>
      <c r="H5" s="28">
        <f>Calcul!C26</f>
        <v>92.691144281389327</v>
      </c>
      <c r="I5" s="28">
        <f>Calcul!C28</f>
        <v>1.0220000000000002</v>
      </c>
    </row>
    <row r="6" spans="2:9" ht="73.5" customHeight="1" x14ac:dyDescent="0.35">
      <c r="B6" s="24" t="s">
        <v>20</v>
      </c>
      <c r="C6" s="25" t="s">
        <v>90</v>
      </c>
      <c r="D6" s="27">
        <f>E6+F6</f>
        <v>28.327220597813451</v>
      </c>
      <c r="E6" s="28">
        <f>Calcul!G27</f>
        <v>2.6723793016805137</v>
      </c>
      <c r="F6" s="27">
        <f>Calcul!G29</f>
        <v>25.654841296132936</v>
      </c>
      <c r="G6" s="28">
        <f>H6+I6</f>
        <v>68.294137709613139</v>
      </c>
      <c r="H6" s="27">
        <f>Calcul!G26</f>
        <v>8.9079310056017142</v>
      </c>
      <c r="I6" s="27">
        <f>Calcul!G28</f>
        <v>59.386206704011428</v>
      </c>
    </row>
    <row r="9" spans="2:9" x14ac:dyDescent="0.35">
      <c r="B9" s="42"/>
    </row>
  </sheetData>
  <mergeCells count="4">
    <mergeCell ref="G3:I3"/>
    <mergeCell ref="D2:I2"/>
    <mergeCell ref="B2:C4"/>
    <mergeCell ref="D3:F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EFCA1-B74B-496C-8690-A27831447A13}">
  <dimension ref="B2:B5"/>
  <sheetViews>
    <sheetView zoomScale="60" zoomScaleNormal="60" workbookViewId="0">
      <selection activeCell="B2" sqref="B2"/>
    </sheetView>
  </sheetViews>
  <sheetFormatPr baseColWidth="10" defaultRowHeight="14.5" x14ac:dyDescent="0.35"/>
  <cols>
    <col min="1" max="1" width="15.90625" bestFit="1" customWidth="1"/>
    <col min="2" max="2" width="25.54296875" customWidth="1"/>
    <col min="3" max="4" width="16.54296875" customWidth="1"/>
    <col min="5" max="5" width="16.453125" customWidth="1"/>
  </cols>
  <sheetData>
    <row r="2" spans="2:2" x14ac:dyDescent="0.35">
      <c r="B2" s="1" t="s">
        <v>2</v>
      </c>
    </row>
    <row r="3" spans="2:2" x14ac:dyDescent="0.35">
      <c r="B3" s="17" t="s">
        <v>15</v>
      </c>
    </row>
    <row r="4" spans="2:2" x14ac:dyDescent="0.35">
      <c r="B4" s="17" t="s">
        <v>71</v>
      </c>
    </row>
    <row r="5" spans="2:2" x14ac:dyDescent="0.35">
      <c r="B5" s="56" t="s">
        <v>70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6C252-3E64-4B7B-AD00-8647FF78531E}">
  <dimension ref="B2:C19"/>
  <sheetViews>
    <sheetView zoomScale="70" zoomScaleNormal="70" workbookViewId="0">
      <selection activeCell="C2" sqref="C2"/>
    </sheetView>
  </sheetViews>
  <sheetFormatPr baseColWidth="10" defaultRowHeight="14.5" x14ac:dyDescent="0.35"/>
  <cols>
    <col min="1" max="1" width="4.81640625" customWidth="1"/>
    <col min="2" max="2" width="20.1796875" style="34" customWidth="1"/>
    <col min="3" max="3" width="115.54296875" customWidth="1"/>
  </cols>
  <sheetData>
    <row r="2" spans="2:3" x14ac:dyDescent="0.35">
      <c r="B2" s="35"/>
      <c r="C2" s="36" t="s">
        <v>36</v>
      </c>
    </row>
    <row r="3" spans="2:3" ht="25.5" x14ac:dyDescent="0.35">
      <c r="B3" s="37" t="s">
        <v>37</v>
      </c>
      <c r="C3" s="38" t="s">
        <v>38</v>
      </c>
    </row>
    <row r="4" spans="2:3" ht="25.5" x14ac:dyDescent="0.35">
      <c r="B4" s="57" t="s">
        <v>39</v>
      </c>
      <c r="C4" s="30" t="s">
        <v>40</v>
      </c>
    </row>
    <row r="5" spans="2:3" ht="25.5" x14ac:dyDescent="0.35">
      <c r="B5" s="29" t="s">
        <v>41</v>
      </c>
      <c r="C5" s="30" t="s">
        <v>42</v>
      </c>
    </row>
    <row r="6" spans="2:3" ht="25.5" x14ac:dyDescent="0.35">
      <c r="B6" s="29" t="s">
        <v>43</v>
      </c>
      <c r="C6" s="30" t="s">
        <v>44</v>
      </c>
    </row>
    <row r="7" spans="2:3" ht="25.5" x14ac:dyDescent="0.35">
      <c r="B7" s="29" t="s">
        <v>52</v>
      </c>
      <c r="C7" s="30" t="s">
        <v>53</v>
      </c>
    </row>
    <row r="8" spans="2:3" ht="25" x14ac:dyDescent="0.35">
      <c r="B8" s="57" t="s">
        <v>74</v>
      </c>
      <c r="C8" s="30" t="s">
        <v>75</v>
      </c>
    </row>
    <row r="9" spans="2:3" ht="25.5" x14ac:dyDescent="0.35">
      <c r="B9" s="29" t="s">
        <v>45</v>
      </c>
      <c r="C9" s="30" t="s">
        <v>46</v>
      </c>
    </row>
    <row r="10" spans="2:3" ht="25" x14ac:dyDescent="0.35">
      <c r="B10" s="55" t="s">
        <v>68</v>
      </c>
      <c r="C10" s="30" t="s">
        <v>69</v>
      </c>
    </row>
    <row r="11" spans="2:3" x14ac:dyDescent="0.35">
      <c r="B11" s="31"/>
      <c r="C11" s="32" t="s">
        <v>47</v>
      </c>
    </row>
    <row r="12" spans="2:3" ht="29" x14ac:dyDescent="0.35">
      <c r="B12" s="29" t="s">
        <v>73</v>
      </c>
      <c r="C12" s="75" t="s">
        <v>72</v>
      </c>
    </row>
    <row r="13" spans="2:3" x14ac:dyDescent="0.35">
      <c r="B13" s="29" t="s">
        <v>48</v>
      </c>
      <c r="C13" s="30" t="s">
        <v>49</v>
      </c>
    </row>
    <row r="14" spans="2:3" ht="25.5" x14ac:dyDescent="0.35">
      <c r="B14" s="29" t="s">
        <v>50</v>
      </c>
      <c r="C14" s="30" t="s">
        <v>51</v>
      </c>
    </row>
    <row r="15" spans="2:3" ht="25.5" x14ac:dyDescent="0.35">
      <c r="B15" s="29" t="s">
        <v>39</v>
      </c>
      <c r="C15" s="30" t="s">
        <v>40</v>
      </c>
    </row>
    <row r="16" spans="2:3" ht="25.5" x14ac:dyDescent="0.35">
      <c r="B16" s="29" t="s">
        <v>54</v>
      </c>
      <c r="C16" s="30" t="s">
        <v>57</v>
      </c>
    </row>
    <row r="17" spans="2:3" x14ac:dyDescent="0.35">
      <c r="B17" s="29" t="s">
        <v>121</v>
      </c>
      <c r="C17" s="30" t="s">
        <v>120</v>
      </c>
    </row>
    <row r="18" spans="2:3" x14ac:dyDescent="0.35">
      <c r="B18" s="33" t="s">
        <v>122</v>
      </c>
      <c r="C18" s="40" t="s">
        <v>119</v>
      </c>
    </row>
    <row r="19" spans="2:3" x14ac:dyDescent="0.35">
      <c r="C19" s="3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69374-FE77-4119-BB56-BB7260B8880C}">
  <dimension ref="B2:J30"/>
  <sheetViews>
    <sheetView zoomScale="60" zoomScaleNormal="60" workbookViewId="0">
      <selection activeCell="B2" sqref="B2:J2"/>
    </sheetView>
  </sheetViews>
  <sheetFormatPr baseColWidth="10" defaultRowHeight="14.5" x14ac:dyDescent="0.35"/>
  <cols>
    <col min="1" max="1" width="4.54296875" customWidth="1"/>
    <col min="2" max="2" width="46.08984375" customWidth="1"/>
    <col min="3" max="3" width="19.08984375" customWidth="1"/>
    <col min="4" max="4" width="19.7265625" customWidth="1"/>
    <col min="5" max="5" width="8.6328125" customWidth="1"/>
    <col min="6" max="6" width="38.7265625" customWidth="1"/>
    <col min="7" max="7" width="12.453125" customWidth="1"/>
    <col min="8" max="8" width="19.36328125" customWidth="1"/>
    <col min="9" max="9" width="19.7265625" customWidth="1"/>
    <col min="10" max="10" width="25.6328125" customWidth="1"/>
  </cols>
  <sheetData>
    <row r="2" spans="2:10" ht="18.5" x14ac:dyDescent="0.35">
      <c r="B2" s="88" t="s">
        <v>110</v>
      </c>
      <c r="C2" s="88"/>
      <c r="D2" s="88"/>
      <c r="E2" s="88"/>
      <c r="F2" s="88"/>
      <c r="G2" s="88"/>
      <c r="H2" s="88"/>
      <c r="I2" s="88"/>
      <c r="J2" s="88"/>
    </row>
    <row r="4" spans="2:10" x14ac:dyDescent="0.35">
      <c r="B4" s="43" t="s">
        <v>76</v>
      </c>
      <c r="C4" s="43">
        <v>2030</v>
      </c>
      <c r="D4" s="43" t="s">
        <v>84</v>
      </c>
      <c r="F4" s="43" t="s">
        <v>77</v>
      </c>
      <c r="G4" s="43">
        <v>2030</v>
      </c>
      <c r="H4" s="43" t="s">
        <v>84</v>
      </c>
      <c r="J4" s="43" t="s">
        <v>111</v>
      </c>
    </row>
    <row r="5" spans="2:10" x14ac:dyDescent="0.35">
      <c r="B5" s="20" t="s">
        <v>79</v>
      </c>
      <c r="C5" s="60">
        <f>'1'!B4</f>
        <v>400</v>
      </c>
      <c r="D5" s="65" t="s">
        <v>80</v>
      </c>
      <c r="F5" s="66" t="s">
        <v>89</v>
      </c>
      <c r="G5" s="66">
        <f>(50-3)</f>
        <v>47</v>
      </c>
      <c r="H5" s="65" t="s">
        <v>87</v>
      </c>
      <c r="J5" s="20" t="s">
        <v>112</v>
      </c>
    </row>
    <row r="6" spans="2:10" x14ac:dyDescent="0.35">
      <c r="B6" s="20" t="s">
        <v>58</v>
      </c>
      <c r="C6" s="60">
        <v>2</v>
      </c>
      <c r="D6" s="65" t="s">
        <v>81</v>
      </c>
      <c r="F6" s="20" t="s">
        <v>91</v>
      </c>
      <c r="G6" s="60">
        <f>'7'!D4*C5</f>
        <v>146000</v>
      </c>
      <c r="H6" s="65" t="s">
        <v>87</v>
      </c>
      <c r="J6" s="20" t="s">
        <v>113</v>
      </c>
    </row>
    <row r="7" spans="2:10" x14ac:dyDescent="0.35">
      <c r="B7" s="20" t="s">
        <v>56</v>
      </c>
      <c r="C7" s="21">
        <f>'3'!J13</f>
        <v>285.5172761142905</v>
      </c>
      <c r="D7" s="65" t="s">
        <v>82</v>
      </c>
      <c r="F7" s="67" t="s">
        <v>101</v>
      </c>
      <c r="G7" s="69">
        <v>6.5926813706686984E-3</v>
      </c>
      <c r="H7" s="70" t="s">
        <v>104</v>
      </c>
    </row>
    <row r="8" spans="2:10" ht="16.5" x14ac:dyDescent="0.45">
      <c r="B8" s="20" t="s">
        <v>95</v>
      </c>
      <c r="C8" s="21">
        <v>90</v>
      </c>
      <c r="D8" s="65" t="s">
        <v>83</v>
      </c>
      <c r="F8" s="67" t="s">
        <v>102</v>
      </c>
      <c r="G8" s="69">
        <v>6.5926813706686984E-3</v>
      </c>
      <c r="H8" s="70" t="s">
        <v>104</v>
      </c>
    </row>
    <row r="9" spans="2:10" x14ac:dyDescent="0.35">
      <c r="B9" s="20" t="s">
        <v>96</v>
      </c>
      <c r="C9" s="63">
        <v>2.5550000000000002</v>
      </c>
      <c r="D9" s="65" t="s">
        <v>85</v>
      </c>
      <c r="F9" s="67" t="s">
        <v>103</v>
      </c>
      <c r="G9" s="69">
        <v>6.9788811264000009E-2</v>
      </c>
      <c r="H9" s="70" t="s">
        <v>104</v>
      </c>
    </row>
    <row r="10" spans="2:10" ht="16.5" x14ac:dyDescent="0.45">
      <c r="B10" s="20" t="s">
        <v>97</v>
      </c>
      <c r="C10" s="21">
        <f>'6'!C13</f>
        <v>324.64285714285722</v>
      </c>
      <c r="D10" s="65" t="s">
        <v>86</v>
      </c>
      <c r="F10" s="72" t="s">
        <v>106</v>
      </c>
      <c r="G10" s="73">
        <v>0.432</v>
      </c>
      <c r="H10" s="70" t="s">
        <v>104</v>
      </c>
      <c r="I10" s="71"/>
    </row>
    <row r="11" spans="2:10" ht="30" customHeight="1" x14ac:dyDescent="0.35">
      <c r="F11" s="74" t="s">
        <v>107</v>
      </c>
      <c r="G11" s="41">
        <v>0.3</v>
      </c>
      <c r="H11" s="70" t="s">
        <v>104</v>
      </c>
      <c r="I11" s="71"/>
    </row>
    <row r="12" spans="2:10" ht="30" customHeight="1" x14ac:dyDescent="0.35">
      <c r="F12" s="74" t="s">
        <v>108</v>
      </c>
      <c r="G12" s="20">
        <v>0.15</v>
      </c>
      <c r="H12" s="70" t="s">
        <v>104</v>
      </c>
    </row>
    <row r="13" spans="2:10" x14ac:dyDescent="0.35">
      <c r="F13" s="23"/>
      <c r="G13" s="23"/>
      <c r="H13" s="23"/>
      <c r="I13" s="23"/>
      <c r="J13" s="23"/>
    </row>
    <row r="14" spans="2:10" ht="18.5" x14ac:dyDescent="0.35">
      <c r="B14" s="87" t="s">
        <v>109</v>
      </c>
      <c r="C14" s="87"/>
      <c r="D14" s="87"/>
      <c r="E14" s="87"/>
      <c r="F14" s="87"/>
      <c r="G14" s="87"/>
      <c r="H14" s="87"/>
      <c r="I14" s="87"/>
      <c r="J14" s="87"/>
    </row>
    <row r="16" spans="2:10" x14ac:dyDescent="0.35">
      <c r="F16" s="45" t="s">
        <v>100</v>
      </c>
      <c r="G16" s="45">
        <v>2030</v>
      </c>
      <c r="H16" s="23"/>
      <c r="I16" s="23"/>
      <c r="J16" s="23"/>
    </row>
    <row r="17" spans="2:10" x14ac:dyDescent="0.35">
      <c r="F17" s="20" t="s">
        <v>88</v>
      </c>
      <c r="G17" s="60">
        <f>G5*3600*G6/8/1000*10^-9*10^6</f>
        <v>3087.9</v>
      </c>
    </row>
    <row r="19" spans="2:10" ht="16.5" x14ac:dyDescent="0.35">
      <c r="F19" s="45" t="s">
        <v>22</v>
      </c>
      <c r="G19" s="45" t="s">
        <v>24</v>
      </c>
      <c r="H19" s="45" t="s">
        <v>23</v>
      </c>
      <c r="I19" s="45" t="s">
        <v>92</v>
      </c>
      <c r="J19" s="45" t="s">
        <v>105</v>
      </c>
    </row>
    <row r="20" spans="2:10" x14ac:dyDescent="0.35">
      <c r="F20" s="67" t="s">
        <v>11</v>
      </c>
      <c r="G20" s="60">
        <f>0.27*G17</f>
        <v>833.73300000000006</v>
      </c>
      <c r="H20" s="62">
        <f>G20*G7</f>
        <v>5.4965360172117261</v>
      </c>
      <c r="I20" s="62">
        <f>$G$12*H20</f>
        <v>0.82448040258175892</v>
      </c>
      <c r="J20" s="62">
        <f>$G$11*I20</f>
        <v>0.24734412077452766</v>
      </c>
    </row>
    <row r="21" spans="2:10" x14ac:dyDescent="0.35">
      <c r="F21" s="67" t="s">
        <v>12</v>
      </c>
      <c r="G21" s="60">
        <f>0.53*G17</f>
        <v>1636.5870000000002</v>
      </c>
      <c r="H21" s="62">
        <f>G21*G8</f>
        <v>10.789496626378574</v>
      </c>
      <c r="I21" s="62">
        <f>$G$12*H21</f>
        <v>1.618424493956786</v>
      </c>
      <c r="J21" s="62">
        <f>$G$11*I21</f>
        <v>0.4855273481870358</v>
      </c>
    </row>
    <row r="22" spans="2:10" x14ac:dyDescent="0.35">
      <c r="F22" s="67" t="s">
        <v>13</v>
      </c>
      <c r="G22" s="60">
        <f>0.2*G17</f>
        <v>617.58000000000004</v>
      </c>
      <c r="H22" s="62">
        <f>G22*G9</f>
        <v>43.100174060421125</v>
      </c>
      <c r="I22" s="62">
        <f>$G$12*H22</f>
        <v>6.4650261090631682</v>
      </c>
      <c r="J22" s="62">
        <f>$G$11*I22</f>
        <v>1.9395078327189503</v>
      </c>
    </row>
    <row r="23" spans="2:10" x14ac:dyDescent="0.35">
      <c r="F23" s="45" t="s">
        <v>29</v>
      </c>
      <c r="G23" s="21">
        <f>SUM(G20:G22)</f>
        <v>3087.9</v>
      </c>
      <c r="H23" s="68">
        <f>SUM(H20:H22)</f>
        <v>59.386206704011428</v>
      </c>
      <c r="I23" s="68">
        <f t="shared" ref="I23:J23" si="0">SUM(I20:I22)</f>
        <v>8.9079310056017142</v>
      </c>
      <c r="J23" s="68">
        <f t="shared" si="0"/>
        <v>2.6723793016805137</v>
      </c>
    </row>
    <row r="25" spans="2:10" x14ac:dyDescent="0.35">
      <c r="B25" s="45" t="s">
        <v>21</v>
      </c>
      <c r="C25" s="45">
        <v>2030</v>
      </c>
      <c r="F25" s="45" t="s">
        <v>10</v>
      </c>
      <c r="G25" s="45">
        <v>2030</v>
      </c>
    </row>
    <row r="26" spans="2:10" x14ac:dyDescent="0.35">
      <c r="B26" s="20" t="s">
        <v>25</v>
      </c>
      <c r="C26" s="41">
        <f>C7*10^6*C10*10^-9</f>
        <v>92.691144281389327</v>
      </c>
      <c r="F26" s="20" t="s">
        <v>25</v>
      </c>
      <c r="G26" s="41">
        <f>I23</f>
        <v>8.9079310056017142</v>
      </c>
    </row>
    <row r="27" spans="2:10" ht="16.5" x14ac:dyDescent="0.45">
      <c r="B27" s="20" t="s">
        <v>98</v>
      </c>
      <c r="C27" s="41">
        <f>C7*10^6*C8*10^-9</f>
        <v>25.696554850286145</v>
      </c>
      <c r="F27" s="20" t="s">
        <v>98</v>
      </c>
      <c r="G27" s="41">
        <f>J23</f>
        <v>2.6723793016805137</v>
      </c>
    </row>
    <row r="28" spans="2:10" x14ac:dyDescent="0.35">
      <c r="B28" s="20" t="s">
        <v>26</v>
      </c>
      <c r="C28" s="41">
        <f>C5*10^6*C9*10^-9</f>
        <v>1.0220000000000002</v>
      </c>
      <c r="F28" s="20" t="s">
        <v>26</v>
      </c>
      <c r="G28" s="41">
        <f>H23</f>
        <v>59.386206704011428</v>
      </c>
    </row>
    <row r="29" spans="2:10" s="23" customFormat="1" ht="16.5" x14ac:dyDescent="0.45">
      <c r="B29" s="61" t="s">
        <v>99</v>
      </c>
      <c r="C29" s="41">
        <f>C28*G10</f>
        <v>0.44150400000000012</v>
      </c>
      <c r="F29" s="61" t="s">
        <v>99</v>
      </c>
      <c r="G29" s="41">
        <f>G28*G10</f>
        <v>25.654841296132936</v>
      </c>
      <c r="H29"/>
      <c r="I29"/>
      <c r="J29"/>
    </row>
    <row r="30" spans="2:10" s="23" customFormat="1" ht="13.5" x14ac:dyDescent="0.3"/>
  </sheetData>
  <mergeCells count="2">
    <mergeCell ref="B14:J14"/>
    <mergeCell ref="B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8A7A-61F0-4E1C-A882-F3E31D1931C3}">
  <dimension ref="B2:B11"/>
  <sheetViews>
    <sheetView zoomScale="70" zoomScaleNormal="70" workbookViewId="0">
      <selection activeCell="B2" sqref="B2"/>
    </sheetView>
  </sheetViews>
  <sheetFormatPr baseColWidth="10" defaultRowHeight="14.5" x14ac:dyDescent="0.35"/>
  <cols>
    <col min="2" max="2" width="38.54296875" customWidth="1"/>
  </cols>
  <sheetData>
    <row r="2" spans="2:2" x14ac:dyDescent="0.35">
      <c r="B2" s="46" t="s">
        <v>9</v>
      </c>
    </row>
    <row r="3" spans="2:2" x14ac:dyDescent="0.35">
      <c r="B3" s="47" t="s">
        <v>126</v>
      </c>
    </row>
    <row r="4" spans="2:2" x14ac:dyDescent="0.35">
      <c r="B4" s="48">
        <v>400</v>
      </c>
    </row>
    <row r="6" spans="2:2" x14ac:dyDescent="0.35">
      <c r="B6" s="1" t="s">
        <v>114</v>
      </c>
    </row>
    <row r="7" spans="2:2" x14ac:dyDescent="0.35">
      <c r="B7" s="17" t="s">
        <v>115</v>
      </c>
    </row>
    <row r="8" spans="2:2" x14ac:dyDescent="0.35">
      <c r="B8" s="17" t="s">
        <v>116</v>
      </c>
    </row>
    <row r="9" spans="2:2" x14ac:dyDescent="0.35">
      <c r="B9" s="17"/>
    </row>
    <row r="10" spans="2:2" x14ac:dyDescent="0.35">
      <c r="B10" s="17" t="s">
        <v>117</v>
      </c>
    </row>
    <row r="11" spans="2:2" x14ac:dyDescent="0.35">
      <c r="B11" s="17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83C48-EA64-4C90-85FA-B89121013A68}">
  <dimension ref="B2:M46"/>
  <sheetViews>
    <sheetView zoomScale="70" zoomScaleNormal="70" workbookViewId="0">
      <selection activeCell="B2" sqref="B2"/>
    </sheetView>
  </sheetViews>
  <sheetFormatPr baseColWidth="10" defaultRowHeight="14.5" x14ac:dyDescent="0.35"/>
  <cols>
    <col min="2" max="2" width="19.1796875" customWidth="1"/>
  </cols>
  <sheetData>
    <row r="2" spans="2:12" x14ac:dyDescent="0.35">
      <c r="B2" s="46" t="s">
        <v>9</v>
      </c>
    </row>
    <row r="3" spans="2:12" x14ac:dyDescent="0.35">
      <c r="B3" s="47" t="s">
        <v>58</v>
      </c>
    </row>
    <row r="4" spans="2:12" x14ac:dyDescent="0.35">
      <c r="B4" s="48">
        <v>2</v>
      </c>
    </row>
    <row r="5" spans="2:12" x14ac:dyDescent="0.35">
      <c r="B5" s="49"/>
    </row>
    <row r="6" spans="2:12" x14ac:dyDescent="0.35">
      <c r="B6" t="s">
        <v>3</v>
      </c>
    </row>
    <row r="7" spans="2:12" x14ac:dyDescent="0.35">
      <c r="B7" t="s">
        <v>59</v>
      </c>
    </row>
    <row r="8" spans="2:12" x14ac:dyDescent="0.35">
      <c r="B8" t="s">
        <v>60</v>
      </c>
    </row>
    <row r="9" spans="2:12" x14ac:dyDescent="0.35">
      <c r="B9" t="s">
        <v>123</v>
      </c>
    </row>
    <row r="10" spans="2:12" x14ac:dyDescent="0.35">
      <c r="B10" t="s">
        <v>61</v>
      </c>
    </row>
    <row r="11" spans="2:12" x14ac:dyDescent="0.35">
      <c r="B11" s="49"/>
      <c r="L11" s="34"/>
    </row>
    <row r="12" spans="2:12" x14ac:dyDescent="0.35">
      <c r="B12" s="49"/>
      <c r="L12" s="50"/>
    </row>
    <row r="13" spans="2:12" x14ac:dyDescent="0.35">
      <c r="B13" s="49"/>
      <c r="L13" s="51"/>
    </row>
    <row r="14" spans="2:12" x14ac:dyDescent="0.35">
      <c r="B14" s="49"/>
      <c r="L14" s="52"/>
    </row>
    <row r="15" spans="2:12" x14ac:dyDescent="0.35">
      <c r="B15" s="49"/>
      <c r="L15" s="52"/>
    </row>
    <row r="16" spans="2:12" x14ac:dyDescent="0.35">
      <c r="B16" s="49"/>
    </row>
    <row r="17" spans="2:2" x14ac:dyDescent="0.35">
      <c r="B17" s="49"/>
    </row>
    <row r="18" spans="2:2" x14ac:dyDescent="0.35">
      <c r="B18" s="49"/>
    </row>
    <row r="19" spans="2:2" x14ac:dyDescent="0.35">
      <c r="B19" s="49"/>
    </row>
    <row r="20" spans="2:2" x14ac:dyDescent="0.35">
      <c r="B20" s="49"/>
    </row>
    <row r="21" spans="2:2" x14ac:dyDescent="0.35">
      <c r="B21" s="49"/>
    </row>
    <row r="22" spans="2:2" x14ac:dyDescent="0.35">
      <c r="B22" s="49"/>
    </row>
    <row r="23" spans="2:2" x14ac:dyDescent="0.35">
      <c r="B23" s="49"/>
    </row>
    <row r="24" spans="2:2" x14ac:dyDescent="0.35">
      <c r="B24" s="49"/>
    </row>
    <row r="25" spans="2:2" x14ac:dyDescent="0.35">
      <c r="B25" s="49"/>
    </row>
    <row r="26" spans="2:2" x14ac:dyDescent="0.35">
      <c r="B26" s="49"/>
    </row>
    <row r="27" spans="2:2" x14ac:dyDescent="0.35">
      <c r="B27" s="49"/>
    </row>
    <row r="28" spans="2:2" x14ac:dyDescent="0.35">
      <c r="B28" s="49"/>
    </row>
    <row r="29" spans="2:2" x14ac:dyDescent="0.35">
      <c r="B29" s="49"/>
    </row>
    <row r="30" spans="2:2" x14ac:dyDescent="0.35">
      <c r="B30" s="49"/>
    </row>
    <row r="31" spans="2:2" x14ac:dyDescent="0.35">
      <c r="B31" s="49"/>
    </row>
    <row r="32" spans="2:2" x14ac:dyDescent="0.35">
      <c r="B32" s="49"/>
    </row>
    <row r="33" spans="2:13" x14ac:dyDescent="0.35">
      <c r="B33" s="49"/>
    </row>
    <row r="34" spans="2:13" x14ac:dyDescent="0.35">
      <c r="B34" s="49"/>
    </row>
    <row r="35" spans="2:13" x14ac:dyDescent="0.35">
      <c r="B35" s="22" t="s">
        <v>62</v>
      </c>
      <c r="C35" s="22" t="s">
        <v>63</v>
      </c>
      <c r="D35" s="22" t="s">
        <v>64</v>
      </c>
      <c r="E35" s="22" t="s">
        <v>65</v>
      </c>
      <c r="F35" s="22" t="s">
        <v>66</v>
      </c>
      <c r="G35" s="22" t="s">
        <v>67</v>
      </c>
      <c r="H35" s="22" t="s">
        <v>62</v>
      </c>
      <c r="I35" s="22" t="s">
        <v>63</v>
      </c>
      <c r="J35" s="22" t="s">
        <v>64</v>
      </c>
      <c r="K35" s="22" t="s">
        <v>65</v>
      </c>
      <c r="L35" s="22" t="s">
        <v>66</v>
      </c>
      <c r="M35" s="22" t="s">
        <v>67</v>
      </c>
    </row>
    <row r="36" spans="2:13" x14ac:dyDescent="0.35">
      <c r="B36" s="53">
        <v>2016</v>
      </c>
      <c r="C36" s="53">
        <v>2019</v>
      </c>
      <c r="D36" s="53">
        <v>2016</v>
      </c>
      <c r="E36" s="53">
        <v>2016</v>
      </c>
      <c r="F36" s="53">
        <v>2015</v>
      </c>
      <c r="G36" s="53">
        <v>2019</v>
      </c>
      <c r="H36">
        <f t="shared" ref="H36:M44" si="0">SUM(B37-B36)</f>
        <v>2</v>
      </c>
      <c r="I36">
        <f t="shared" si="0"/>
        <v>1</v>
      </c>
      <c r="J36">
        <f t="shared" si="0"/>
        <v>2</v>
      </c>
      <c r="K36">
        <f t="shared" si="0"/>
        <v>1</v>
      </c>
      <c r="L36">
        <f t="shared" si="0"/>
        <v>1</v>
      </c>
      <c r="M36">
        <f t="shared" si="0"/>
        <v>2</v>
      </c>
    </row>
    <row r="37" spans="2:13" x14ac:dyDescent="0.35">
      <c r="B37" s="53">
        <v>2018</v>
      </c>
      <c r="C37" s="53">
        <v>2020</v>
      </c>
      <c r="D37" s="53">
        <v>2018</v>
      </c>
      <c r="E37" s="53">
        <v>2017</v>
      </c>
      <c r="F37" s="53">
        <v>2016</v>
      </c>
      <c r="G37" s="53">
        <v>2021</v>
      </c>
      <c r="H37">
        <f>SUM(B38-B37)</f>
        <v>0</v>
      </c>
      <c r="J37">
        <f t="shared" si="0"/>
        <v>1</v>
      </c>
      <c r="K37">
        <f t="shared" si="0"/>
        <v>2</v>
      </c>
      <c r="L37">
        <f t="shared" si="0"/>
        <v>1</v>
      </c>
      <c r="M37">
        <f>SUM(G38-G37)</f>
        <v>0</v>
      </c>
    </row>
    <row r="38" spans="2:13" x14ac:dyDescent="0.35">
      <c r="B38" s="53">
        <v>2018</v>
      </c>
      <c r="C38" s="53"/>
      <c r="D38" s="53">
        <v>2019</v>
      </c>
      <c r="E38" s="53">
        <v>2019</v>
      </c>
      <c r="F38" s="53">
        <v>2017</v>
      </c>
      <c r="G38" s="53">
        <v>2021</v>
      </c>
      <c r="H38">
        <f>SUM(B39-B38)</f>
        <v>1</v>
      </c>
      <c r="J38">
        <f t="shared" si="0"/>
        <v>0</v>
      </c>
      <c r="K38">
        <f t="shared" si="0"/>
        <v>2</v>
      </c>
      <c r="L38">
        <f t="shared" si="0"/>
        <v>1</v>
      </c>
    </row>
    <row r="39" spans="2:13" x14ac:dyDescent="0.35">
      <c r="B39" s="53">
        <v>2019</v>
      </c>
      <c r="D39" s="53">
        <v>2019</v>
      </c>
      <c r="E39" s="53">
        <v>2021</v>
      </c>
      <c r="F39" s="53">
        <v>2018</v>
      </c>
      <c r="G39" s="53"/>
      <c r="H39">
        <f>SUM(B40-B39)</f>
        <v>2</v>
      </c>
      <c r="J39">
        <f t="shared" si="0"/>
        <v>0</v>
      </c>
      <c r="K39">
        <f t="shared" si="0"/>
        <v>1</v>
      </c>
    </row>
    <row r="40" spans="2:13" x14ac:dyDescent="0.35">
      <c r="B40" s="53">
        <v>2021</v>
      </c>
      <c r="C40" s="53"/>
      <c r="D40" s="53">
        <v>2019</v>
      </c>
      <c r="E40" s="53">
        <v>2022</v>
      </c>
      <c r="F40" s="53"/>
      <c r="G40" s="53"/>
      <c r="H40">
        <f>SUM(B41-B40)</f>
        <v>0</v>
      </c>
      <c r="J40">
        <f t="shared" si="0"/>
        <v>0</v>
      </c>
    </row>
    <row r="41" spans="2:13" x14ac:dyDescent="0.35">
      <c r="B41" s="53">
        <v>2021</v>
      </c>
      <c r="C41" s="53"/>
      <c r="D41" s="53">
        <v>2019</v>
      </c>
      <c r="E41" s="53"/>
      <c r="F41" s="53"/>
      <c r="G41" s="53"/>
      <c r="H41">
        <f>SUM(B42-B41)</f>
        <v>1</v>
      </c>
      <c r="J41">
        <f t="shared" si="0"/>
        <v>1</v>
      </c>
    </row>
    <row r="42" spans="2:13" x14ac:dyDescent="0.35">
      <c r="B42" s="53">
        <v>2022</v>
      </c>
      <c r="C42" s="53"/>
      <c r="D42" s="53">
        <v>2020</v>
      </c>
      <c r="E42" s="53"/>
      <c r="F42" s="53"/>
      <c r="G42" s="53"/>
      <c r="J42">
        <f t="shared" si="0"/>
        <v>0</v>
      </c>
    </row>
    <row r="43" spans="2:13" x14ac:dyDescent="0.35">
      <c r="B43" s="53"/>
      <c r="C43" s="53"/>
      <c r="D43" s="53">
        <v>2020</v>
      </c>
      <c r="E43" s="53"/>
      <c r="F43" s="53"/>
      <c r="G43" s="53"/>
      <c r="J43">
        <f t="shared" si="0"/>
        <v>2</v>
      </c>
    </row>
    <row r="44" spans="2:13" x14ac:dyDescent="0.35">
      <c r="B44" s="53"/>
      <c r="C44" s="53"/>
      <c r="D44" s="53">
        <v>2022</v>
      </c>
      <c r="E44" s="53"/>
      <c r="F44" s="53"/>
      <c r="G44" s="53"/>
      <c r="J44">
        <f t="shared" si="0"/>
        <v>1</v>
      </c>
    </row>
    <row r="45" spans="2:13" x14ac:dyDescent="0.35">
      <c r="B45" s="53"/>
      <c r="C45" s="53"/>
      <c r="D45" s="53">
        <v>2023</v>
      </c>
      <c r="E45" s="53"/>
      <c r="F45" s="53"/>
      <c r="G45" s="53"/>
    </row>
    <row r="46" spans="2:13" x14ac:dyDescent="0.35">
      <c r="G46" s="54">
        <f>AVERAGE(H36:M44)</f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59B85-0C74-477D-BDDD-4C2E5381A582}">
  <dimension ref="B2:M34"/>
  <sheetViews>
    <sheetView zoomScale="70" zoomScaleNormal="70" workbookViewId="0">
      <selection activeCell="B2" sqref="B2"/>
    </sheetView>
  </sheetViews>
  <sheetFormatPr baseColWidth="10" defaultRowHeight="14.5" x14ac:dyDescent="0.35"/>
  <cols>
    <col min="1" max="1" width="4.7265625" customWidth="1"/>
    <col min="2" max="2" width="36.81640625" customWidth="1"/>
    <col min="3" max="3" width="11.26953125" customWidth="1"/>
    <col min="4" max="4" width="17.26953125" customWidth="1"/>
    <col min="5" max="10" width="12.54296875" customWidth="1"/>
    <col min="11" max="11" width="14.1796875" bestFit="1" customWidth="1"/>
    <col min="12" max="12" width="18.1796875" customWidth="1"/>
  </cols>
  <sheetData>
    <row r="2" spans="2:13" x14ac:dyDescent="0.35">
      <c r="B2" s="46" t="s">
        <v>9</v>
      </c>
    </row>
    <row r="3" spans="2:13" x14ac:dyDescent="0.35">
      <c r="B3" s="47" t="s">
        <v>124</v>
      </c>
    </row>
    <row r="4" spans="2:13" x14ac:dyDescent="0.35">
      <c r="B4" s="76">
        <f>J13</f>
        <v>285.5172761142905</v>
      </c>
    </row>
    <row r="5" spans="2:13" x14ac:dyDescent="0.35">
      <c r="B5" s="64"/>
    </row>
    <row r="6" spans="2:13" x14ac:dyDescent="0.35">
      <c r="B6" t="s">
        <v>3</v>
      </c>
      <c r="K6" s="5"/>
    </row>
    <row r="7" spans="2:13" x14ac:dyDescent="0.35">
      <c r="B7" t="s">
        <v>125</v>
      </c>
      <c r="K7" s="5"/>
    </row>
    <row r="8" spans="2:13" x14ac:dyDescent="0.35">
      <c r="B8" s="18"/>
    </row>
    <row r="9" spans="2:13" ht="30" customHeight="1" x14ac:dyDescent="0.35">
      <c r="B9" s="9" t="s">
        <v>16</v>
      </c>
      <c r="C9" s="11">
        <f>'1'!B4</f>
        <v>400</v>
      </c>
    </row>
    <row r="10" spans="2:13" x14ac:dyDescent="0.35">
      <c r="B10" s="2"/>
      <c r="C10" s="3"/>
      <c r="D10" s="3"/>
      <c r="E10" s="4"/>
      <c r="F10" s="4"/>
      <c r="L10" s="4"/>
    </row>
    <row r="11" spans="2:13" x14ac:dyDescent="0.35">
      <c r="B11" s="5"/>
      <c r="C11" s="6">
        <v>2023</v>
      </c>
      <c r="D11" s="6">
        <v>2024</v>
      </c>
      <c r="E11" s="6">
        <v>2025</v>
      </c>
      <c r="F11" s="6">
        <v>2026</v>
      </c>
      <c r="G11" s="6">
        <v>2027</v>
      </c>
      <c r="H11" s="6">
        <v>2028</v>
      </c>
      <c r="I11" s="6">
        <v>2029</v>
      </c>
      <c r="J11" s="6">
        <v>2030</v>
      </c>
      <c r="K11" s="19"/>
      <c r="L11" s="44" t="s">
        <v>0</v>
      </c>
    </row>
    <row r="12" spans="2:13" ht="29" x14ac:dyDescent="0.35">
      <c r="B12" s="10" t="s">
        <v>17</v>
      </c>
      <c r="C12" s="12">
        <v>242</v>
      </c>
      <c r="D12" s="12">
        <f>C12*(1+$L$12)</f>
        <v>260.01186692855651</v>
      </c>
      <c r="E12" s="12">
        <f t="shared" ref="E12:I12" si="0">D12*(1+$L$12)</f>
        <v>279.36434274245198</v>
      </c>
      <c r="F12" s="12">
        <f t="shared" si="0"/>
        <v>300.15720789146309</v>
      </c>
      <c r="G12" s="12">
        <f t="shared" si="0"/>
        <v>322.49766940463707</v>
      </c>
      <c r="H12" s="12">
        <f t="shared" si="0"/>
        <v>346.50091364466158</v>
      </c>
      <c r="I12" s="12">
        <f t="shared" si="0"/>
        <v>372.29070020330164</v>
      </c>
      <c r="J12" s="12">
        <f>C9</f>
        <v>400</v>
      </c>
      <c r="L12" s="77">
        <f>(400/242)^(1/7)-1</f>
        <v>7.4429202184117749E-2</v>
      </c>
    </row>
    <row r="13" spans="2:13" ht="29" x14ac:dyDescent="0.35">
      <c r="B13" s="10" t="s">
        <v>18</v>
      </c>
      <c r="C13" s="12">
        <v>47</v>
      </c>
      <c r="D13" s="12">
        <f>D12-C13</f>
        <v>213.01186692855651</v>
      </c>
      <c r="E13" s="12">
        <f>E12-D13</f>
        <v>66.352475813895467</v>
      </c>
      <c r="F13" s="12">
        <f t="shared" ref="F13:J13" si="1">F12-E13</f>
        <v>233.80473207756762</v>
      </c>
      <c r="G13" s="12">
        <f t="shared" si="1"/>
        <v>88.692937327069444</v>
      </c>
      <c r="H13" s="12">
        <f t="shared" si="1"/>
        <v>257.80797631759214</v>
      </c>
      <c r="I13" s="12">
        <f t="shared" si="1"/>
        <v>114.4827238857095</v>
      </c>
      <c r="J13" s="12">
        <f t="shared" si="1"/>
        <v>285.5172761142905</v>
      </c>
      <c r="K13" s="59"/>
      <c r="L13" s="4"/>
    </row>
    <row r="15" spans="2:13" x14ac:dyDescent="0.35">
      <c r="M15" s="19"/>
    </row>
    <row r="16" spans="2:13" x14ac:dyDescent="0.35">
      <c r="K16" s="5"/>
    </row>
    <row r="20" spans="11:13" x14ac:dyDescent="0.35">
      <c r="K20" s="7"/>
    </row>
    <row r="26" spans="11:13" x14ac:dyDescent="0.35">
      <c r="K26" s="19"/>
    </row>
    <row r="27" spans="11:13" x14ac:dyDescent="0.35">
      <c r="K27" s="19"/>
    </row>
    <row r="30" spans="11:13" x14ac:dyDescent="0.35">
      <c r="M30" s="19"/>
    </row>
    <row r="32" spans="11:13" x14ac:dyDescent="0.35">
      <c r="K32" s="16"/>
    </row>
    <row r="34" spans="11:11" x14ac:dyDescent="0.35">
      <c r="K34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C3869-D33F-41AC-B7D9-DB211BEB1A52}">
  <dimension ref="B2:E20"/>
  <sheetViews>
    <sheetView zoomScale="70" zoomScaleNormal="70" workbookViewId="0">
      <selection activeCell="B4" sqref="B2:B4"/>
    </sheetView>
  </sheetViews>
  <sheetFormatPr baseColWidth="10" defaultRowHeight="14.5" x14ac:dyDescent="0.35"/>
  <cols>
    <col min="1" max="1" width="8.54296875" customWidth="1"/>
    <col min="2" max="2" width="46.1796875" customWidth="1"/>
    <col min="5" max="5" width="41.81640625" customWidth="1"/>
  </cols>
  <sheetData>
    <row r="2" spans="2:5" x14ac:dyDescent="0.35">
      <c r="B2" s="46" t="s">
        <v>9</v>
      </c>
      <c r="E2" s="14"/>
    </row>
    <row r="3" spans="2:5" x14ac:dyDescent="0.35">
      <c r="B3" s="47" t="s">
        <v>55</v>
      </c>
    </row>
    <row r="4" spans="2:5" x14ac:dyDescent="0.35">
      <c r="B4" s="78">
        <v>90</v>
      </c>
    </row>
    <row r="5" spans="2:5" x14ac:dyDescent="0.35">
      <c r="B5" s="59"/>
    </row>
    <row r="6" spans="2:5" x14ac:dyDescent="0.35">
      <c r="B6" t="s">
        <v>3</v>
      </c>
    </row>
    <row r="7" spans="2:5" x14ac:dyDescent="0.35">
      <c r="B7" t="s">
        <v>31</v>
      </c>
    </row>
    <row r="8" spans="2:5" x14ac:dyDescent="0.35">
      <c r="B8" t="s">
        <v>32</v>
      </c>
    </row>
    <row r="10" spans="2:5" x14ac:dyDescent="0.35">
      <c r="B10" t="s">
        <v>4</v>
      </c>
    </row>
    <row r="11" spans="2:5" x14ac:dyDescent="0.35">
      <c r="B11" t="s">
        <v>5</v>
      </c>
    </row>
    <row r="20" spans="2:2" x14ac:dyDescent="0.35">
      <c r="B20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65D67-BBD9-4764-A027-1751E47E7A8C}">
  <dimension ref="B2:C13"/>
  <sheetViews>
    <sheetView zoomScale="80" zoomScaleNormal="80" workbookViewId="0">
      <selection activeCell="B4" sqref="B2:B4"/>
    </sheetView>
  </sheetViews>
  <sheetFormatPr baseColWidth="10" defaultRowHeight="14.5" x14ac:dyDescent="0.35"/>
  <cols>
    <col min="1" max="1" width="8.54296875" customWidth="1"/>
    <col min="2" max="2" width="44.453125" customWidth="1"/>
    <col min="3" max="3" width="15.54296875" customWidth="1"/>
  </cols>
  <sheetData>
    <row r="2" spans="2:3" x14ac:dyDescent="0.35">
      <c r="B2" s="46" t="s">
        <v>9</v>
      </c>
    </row>
    <row r="3" spans="2:3" x14ac:dyDescent="0.35">
      <c r="B3" s="47" t="s">
        <v>1</v>
      </c>
    </row>
    <row r="4" spans="2:3" x14ac:dyDescent="0.35">
      <c r="B4" s="78">
        <f>C13</f>
        <v>2.5550000000000002</v>
      </c>
    </row>
    <row r="5" spans="2:3" x14ac:dyDescent="0.35">
      <c r="B5" s="59"/>
      <c r="C5" s="58"/>
    </row>
    <row r="6" spans="2:3" x14ac:dyDescent="0.35">
      <c r="B6" t="s">
        <v>3</v>
      </c>
    </row>
    <row r="7" spans="2:3" x14ac:dyDescent="0.35">
      <c r="B7" t="s">
        <v>33</v>
      </c>
    </row>
    <row r="8" spans="2:3" x14ac:dyDescent="0.35">
      <c r="B8" t="s">
        <v>34</v>
      </c>
    </row>
    <row r="10" spans="2:3" ht="15" customHeight="1" x14ac:dyDescent="0.35">
      <c r="B10" s="9" t="s">
        <v>6</v>
      </c>
      <c r="C10" s="11">
        <v>14</v>
      </c>
    </row>
    <row r="11" spans="2:3" x14ac:dyDescent="0.35">
      <c r="B11" s="8" t="s">
        <v>7</v>
      </c>
      <c r="C11" s="11">
        <v>2</v>
      </c>
    </row>
    <row r="12" spans="2:3" x14ac:dyDescent="0.35">
      <c r="B12" s="9" t="s">
        <v>8</v>
      </c>
      <c r="C12" s="11">
        <f>C10/C11</f>
        <v>7</v>
      </c>
    </row>
    <row r="13" spans="2:3" x14ac:dyDescent="0.35">
      <c r="B13" s="8" t="s">
        <v>14</v>
      </c>
      <c r="C13" s="11">
        <f>C12*365*10^-3</f>
        <v>2.5550000000000002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A0905-AD59-486A-9C60-DBCAAB929DC0}">
  <dimension ref="B2:C13"/>
  <sheetViews>
    <sheetView zoomScale="70" zoomScaleNormal="70" workbookViewId="0">
      <selection activeCell="B2" sqref="B2"/>
    </sheetView>
  </sheetViews>
  <sheetFormatPr baseColWidth="10" defaultRowHeight="14.5" x14ac:dyDescent="0.35"/>
  <cols>
    <col min="2" max="2" width="44.08984375" customWidth="1"/>
  </cols>
  <sheetData>
    <row r="2" spans="2:3" x14ac:dyDescent="0.35">
      <c r="B2" s="46" t="s">
        <v>9</v>
      </c>
    </row>
    <row r="3" spans="2:3" x14ac:dyDescent="0.35">
      <c r="B3" s="47" t="s">
        <v>127</v>
      </c>
    </row>
    <row r="4" spans="2:3" x14ac:dyDescent="0.35">
      <c r="B4" s="79">
        <f>C13</f>
        <v>324.64285714285722</v>
      </c>
    </row>
    <row r="6" spans="2:3" x14ac:dyDescent="0.35">
      <c r="B6" s="1" t="s">
        <v>128</v>
      </c>
    </row>
    <row r="7" spans="2:3" x14ac:dyDescent="0.35">
      <c r="B7" t="s">
        <v>129</v>
      </c>
    </row>
    <row r="8" spans="2:3" x14ac:dyDescent="0.35">
      <c r="B8" t="s">
        <v>130</v>
      </c>
    </row>
    <row r="10" spans="2:3" x14ac:dyDescent="0.35">
      <c r="B10" s="20" t="s">
        <v>132</v>
      </c>
      <c r="C10" s="20">
        <v>56</v>
      </c>
    </row>
    <row r="11" spans="2:3" x14ac:dyDescent="0.35">
      <c r="B11" s="20" t="s">
        <v>133</v>
      </c>
      <c r="C11" s="20">
        <v>202</v>
      </c>
    </row>
    <row r="12" spans="2:3" x14ac:dyDescent="0.35">
      <c r="B12" s="20" t="s">
        <v>131</v>
      </c>
      <c r="C12" s="62">
        <f>('4'!B4/C10)^(1/7)-1</f>
        <v>7.0129545141097038E-2</v>
      </c>
    </row>
    <row r="13" spans="2:3" x14ac:dyDescent="0.35">
      <c r="B13" s="20" t="s">
        <v>134</v>
      </c>
      <c r="C13" s="62">
        <f>C11*(1+C12)^7</f>
        <v>324.64285714285722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DDE1C-CDF5-4DC3-83C1-72197C43440D}">
  <dimension ref="B2:D12"/>
  <sheetViews>
    <sheetView zoomScale="70" zoomScaleNormal="70" workbookViewId="0">
      <selection activeCell="B2" sqref="B2"/>
    </sheetView>
  </sheetViews>
  <sheetFormatPr baseColWidth="10" defaultRowHeight="14.5" x14ac:dyDescent="0.35"/>
  <cols>
    <col min="2" max="2" width="23.36328125" customWidth="1"/>
    <col min="3" max="3" width="19.54296875" customWidth="1"/>
    <col min="4" max="4" width="29.26953125" customWidth="1"/>
    <col min="5" max="5" width="14.08984375" bestFit="1" customWidth="1"/>
    <col min="7" max="7" width="17.36328125" customWidth="1"/>
  </cols>
  <sheetData>
    <row r="2" spans="2:4" x14ac:dyDescent="0.35">
      <c r="B2" s="46" t="s">
        <v>138</v>
      </c>
      <c r="D2" s="46" t="s">
        <v>138</v>
      </c>
    </row>
    <row r="3" spans="2:4" x14ac:dyDescent="0.35">
      <c r="B3" s="47" t="s">
        <v>139</v>
      </c>
      <c r="D3" s="47" t="s">
        <v>141</v>
      </c>
    </row>
    <row r="4" spans="2:4" x14ac:dyDescent="0.35">
      <c r="B4" s="80">
        <f>50-3</f>
        <v>47</v>
      </c>
      <c r="D4" s="80">
        <v>365</v>
      </c>
    </row>
    <row r="6" spans="2:4" x14ac:dyDescent="0.35">
      <c r="B6" s="1" t="s">
        <v>128</v>
      </c>
    </row>
    <row r="7" spans="2:4" x14ac:dyDescent="0.35">
      <c r="B7" t="s">
        <v>135</v>
      </c>
    </row>
    <row r="8" spans="2:4" x14ac:dyDescent="0.35">
      <c r="B8" t="s">
        <v>136</v>
      </c>
    </row>
    <row r="10" spans="2:4" x14ac:dyDescent="0.35">
      <c r="B10" t="s">
        <v>137</v>
      </c>
    </row>
    <row r="11" spans="2:4" x14ac:dyDescent="0.35">
      <c r="B11" t="s">
        <v>140</v>
      </c>
    </row>
    <row r="12" spans="2:4" x14ac:dyDescent="0.35">
      <c r="B12" t="s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Resume scenario</vt:lpstr>
      <vt:lpstr>Calcul</vt:lpstr>
      <vt:lpstr>1</vt:lpstr>
      <vt:lpstr>2</vt:lpstr>
      <vt:lpstr>3</vt:lpstr>
      <vt:lpstr>4</vt:lpstr>
      <vt:lpstr>5</vt:lpstr>
      <vt:lpstr>6</vt:lpstr>
      <vt:lpstr>7</vt:lpstr>
      <vt:lpstr>8</vt:lpstr>
      <vt:lpstr>Références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de Bank</dc:creator>
  <cp:lastModifiedBy>Marlène de Bank</cp:lastModifiedBy>
  <dcterms:created xsi:type="dcterms:W3CDTF">2023-10-25T13:26:00Z</dcterms:created>
  <dcterms:modified xsi:type="dcterms:W3CDTF">2024-02-27T11:47:17Z</dcterms:modified>
</cp:coreProperties>
</file>