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815" windowHeight="7755" activeTab="6"/>
  </bookViews>
  <sheets>
    <sheet name="Lisez-moi !" sheetId="4" r:id="rId1"/>
    <sheet name="Données brutes bâtiments" sheetId="1" r:id="rId2"/>
    <sheet name="Utilisation des bâtiments" sheetId="2" r:id="rId3"/>
    <sheet name="Alimentation" sheetId="13" r:id="rId4"/>
    <sheet name="Domicile-travail" sheetId="5" r:id="rId5"/>
    <sheet name="Estimation flotte collectivités" sheetId="9" r:id="rId6"/>
    <sheet name="Emissions fabrication véhicules" sheetId="12" r:id="rId7"/>
    <sheet name="Emissions parc automobile" sheetId="8" r:id="rId8"/>
  </sheets>
  <externalReferences>
    <externalReference r:id="rId9"/>
    <externalReference r:id="rId10"/>
  </externalReferences>
  <definedNames>
    <definedName name="FE_Immobilisations_VMO">'[1]FE Immobilisations'!$C$137:$C$142</definedName>
    <definedName name="Liste_Immobilisations2">[1]Utilitaires!$M$586:$M$587</definedName>
    <definedName name="Mtep_to_TWh">[2]Auxiliaire!$B$12</definedName>
    <definedName name="tep_to_kWh">[2]Auxiliaire!$B$13</definedName>
  </definedNames>
  <calcPr calcId="152511"/>
</workbook>
</file>

<file path=xl/calcChain.xml><?xml version="1.0" encoding="utf-8"?>
<calcChain xmlns="http://schemas.openxmlformats.org/spreadsheetml/2006/main">
  <c r="G51" i="8" l="1"/>
  <c r="C16" i="13" l="1"/>
  <c r="D76" i="2" l="1"/>
  <c r="C52" i="2"/>
  <c r="C55" i="2" s="1"/>
  <c r="C9" i="2"/>
  <c r="C10" i="2"/>
  <c r="C11" i="2"/>
  <c r="C12" i="2"/>
  <c r="C13" i="2" s="1"/>
  <c r="E19" i="2"/>
  <c r="C60" i="2" s="1"/>
  <c r="D60" i="2" s="1"/>
  <c r="C11" i="5"/>
  <c r="C12" i="5" s="1"/>
  <c r="C8" i="5"/>
  <c r="I60" i="2" l="1"/>
  <c r="N60" i="2" s="1"/>
  <c r="E60" i="2"/>
  <c r="H60" i="2"/>
  <c r="M60" i="2" s="1"/>
  <c r="G60" i="2"/>
  <c r="L60" i="2" s="1"/>
  <c r="F60" i="2"/>
  <c r="K60" i="2" s="1"/>
  <c r="J60" i="2" l="1"/>
  <c r="C19" i="13"/>
  <c r="C23" i="13" s="1"/>
  <c r="C24" i="13" s="1"/>
  <c r="O60" i="2" l="1"/>
  <c r="E18" i="12"/>
  <c r="D18" i="12"/>
  <c r="D34" i="12"/>
  <c r="D35" i="12" s="1"/>
  <c r="E33" i="12"/>
  <c r="E34" i="12" s="1"/>
  <c r="E35" i="12" s="1"/>
  <c r="D33" i="12"/>
  <c r="E20" i="12"/>
  <c r="D20" i="12"/>
  <c r="E22" i="12"/>
  <c r="E26" i="12" s="1"/>
  <c r="D55" i="8" s="1"/>
  <c r="E17" i="12"/>
  <c r="D17" i="12"/>
  <c r="D22" i="12" s="1"/>
  <c r="D26" i="12" s="1"/>
  <c r="D51" i="8" s="1"/>
  <c r="E10" i="12"/>
  <c r="D10" i="12"/>
  <c r="D11" i="12" s="1"/>
  <c r="E8" i="12"/>
  <c r="E11" i="12" l="1"/>
  <c r="E13" i="12"/>
  <c r="E23" i="12" s="1"/>
  <c r="E27" i="12" s="1"/>
  <c r="G55" i="8" s="1"/>
  <c r="F22" i="12"/>
  <c r="D13" i="12"/>
  <c r="D23" i="12" s="1"/>
  <c r="D27" i="12" l="1"/>
  <c r="F23" i="12"/>
  <c r="D73" i="9" l="1"/>
  <c r="D75" i="9"/>
  <c r="B73" i="9"/>
  <c r="B66" i="9" s="1"/>
  <c r="B70" i="9"/>
  <c r="B67" i="9"/>
  <c r="D63" i="9"/>
  <c r="D74" i="9" s="1"/>
  <c r="D60" i="9"/>
  <c r="D61" i="9"/>
  <c r="D59" i="9"/>
  <c r="D57" i="9"/>
  <c r="D68" i="9" s="1"/>
  <c r="D58" i="9"/>
  <c r="D56" i="9"/>
  <c r="D49" i="9"/>
  <c r="D50" i="9"/>
  <c r="D72" i="9" s="1"/>
  <c r="D48" i="9"/>
  <c r="D70" i="9" s="1"/>
  <c r="D46" i="9"/>
  <c r="D47" i="9"/>
  <c r="D45" i="9"/>
  <c r="D67" i="9" s="1"/>
  <c r="B55" i="9"/>
  <c r="B44" i="9"/>
  <c r="G70" i="9" l="1"/>
  <c r="D71" i="9"/>
  <c r="D69" i="9"/>
  <c r="G71" i="9" s="1"/>
  <c r="G69" i="9"/>
  <c r="C8" i="8" l="1"/>
  <c r="B20" i="8" s="1"/>
  <c r="C9" i="8"/>
  <c r="B17" i="8" s="1"/>
  <c r="C10" i="8"/>
  <c r="B18" i="8" s="1"/>
  <c r="C11" i="8"/>
  <c r="C12" i="8"/>
  <c r="C13" i="8"/>
  <c r="B22" i="8"/>
  <c r="H36" i="8"/>
  <c r="B44" i="8"/>
  <c r="B46" i="8"/>
  <c r="D59" i="8"/>
  <c r="G59" i="8"/>
  <c r="B27" i="8" l="1"/>
  <c r="B21" i="8"/>
  <c r="B26" i="8" s="1"/>
  <c r="B55" i="8" s="1"/>
  <c r="E55" i="8" s="1"/>
  <c r="E58" i="8" s="1"/>
  <c r="F58" i="8" s="1"/>
  <c r="F55" i="8" s="1"/>
  <c r="B58" i="8"/>
  <c r="C58" i="8" s="1"/>
  <c r="B56" i="8"/>
  <c r="C56" i="8" s="1"/>
  <c r="B16" i="8"/>
  <c r="B25" i="8" s="1"/>
  <c r="B57" i="8" l="1"/>
  <c r="C57" i="8" s="1"/>
  <c r="C55" i="8" s="1"/>
  <c r="B51" i="8"/>
  <c r="B24" i="8"/>
  <c r="B59" i="8" l="1"/>
  <c r="E51" i="8"/>
  <c r="B52" i="8"/>
  <c r="C52" i="8" s="1"/>
  <c r="B54" i="8"/>
  <c r="C54" i="8" s="1"/>
  <c r="B53" i="8"/>
  <c r="C53" i="8" s="1"/>
  <c r="C51" i="8" l="1"/>
  <c r="C59" i="8" s="1"/>
  <c r="D60" i="8" s="1"/>
  <c r="E59" i="8"/>
  <c r="E54" i="8"/>
  <c r="F54" i="8" s="1"/>
  <c r="F51" i="8" s="1"/>
  <c r="F59" i="8" s="1"/>
  <c r="G60" i="8" s="1"/>
  <c r="G61" i="8" l="1"/>
  <c r="D34" i="2" l="1"/>
  <c r="C14" i="2" l="1"/>
  <c r="D12" i="2" l="1"/>
  <c r="D9" i="2"/>
  <c r="F19" i="2" s="1"/>
  <c r="D13" i="2"/>
  <c r="D10" i="2"/>
  <c r="D11" i="2"/>
  <c r="D14" i="2" l="1"/>
  <c r="E24" i="2"/>
  <c r="C65" i="2" s="1"/>
  <c r="D65" i="2" s="1"/>
  <c r="E20" i="2"/>
  <c r="C61" i="2" s="1"/>
  <c r="D61" i="2" s="1"/>
  <c r="E21" i="2"/>
  <c r="C62" i="2" s="1"/>
  <c r="D62" i="2" s="1"/>
  <c r="E22" i="2"/>
  <c r="C63" i="2" s="1"/>
  <c r="D63" i="2" s="1"/>
  <c r="E23" i="2"/>
  <c r="C64" i="2" s="1"/>
  <c r="D64" i="2" s="1"/>
  <c r="E25" i="2"/>
  <c r="C66" i="2" s="1"/>
  <c r="D66" i="2" s="1"/>
  <c r="E26" i="2"/>
  <c r="C67" i="2" s="1"/>
  <c r="D67" i="2" s="1"/>
  <c r="G62" i="2" l="1"/>
  <c r="L62" i="2" s="1"/>
  <c r="F62" i="2"/>
  <c r="K62" i="2" s="1"/>
  <c r="I62" i="2"/>
  <c r="N62" i="2" s="1"/>
  <c r="E62" i="2"/>
  <c r="J62" i="2" s="1"/>
  <c r="H62" i="2"/>
  <c r="M62" i="2" s="1"/>
  <c r="F61" i="2"/>
  <c r="K61" i="2" s="1"/>
  <c r="I61" i="2"/>
  <c r="N61" i="2" s="1"/>
  <c r="H61" i="2"/>
  <c r="M61" i="2" s="1"/>
  <c r="G61" i="2"/>
  <c r="L61" i="2" s="1"/>
  <c r="E61" i="2"/>
  <c r="H67" i="2"/>
  <c r="M67" i="2" s="1"/>
  <c r="G67" i="2"/>
  <c r="L67" i="2" s="1"/>
  <c r="E67" i="2"/>
  <c r="J67" i="2" s="1"/>
  <c r="F67" i="2"/>
  <c r="K67" i="2" s="1"/>
  <c r="I67" i="2"/>
  <c r="N67" i="2" s="1"/>
  <c r="I64" i="2"/>
  <c r="N64" i="2" s="1"/>
  <c r="E64" i="2"/>
  <c r="J64" i="2" s="1"/>
  <c r="H64" i="2"/>
  <c r="M64" i="2" s="1"/>
  <c r="G64" i="2"/>
  <c r="L64" i="2" s="1"/>
  <c r="F64" i="2"/>
  <c r="K64" i="2" s="1"/>
  <c r="F65" i="2"/>
  <c r="K65" i="2" s="1"/>
  <c r="I65" i="2"/>
  <c r="N65" i="2" s="1"/>
  <c r="H65" i="2"/>
  <c r="M65" i="2" s="1"/>
  <c r="G65" i="2"/>
  <c r="L65" i="2" s="1"/>
  <c r="E65" i="2"/>
  <c r="J65" i="2" s="1"/>
  <c r="G66" i="2"/>
  <c r="L66" i="2" s="1"/>
  <c r="F66" i="2"/>
  <c r="K66" i="2" s="1"/>
  <c r="I66" i="2"/>
  <c r="N66" i="2" s="1"/>
  <c r="E66" i="2"/>
  <c r="J66" i="2" s="1"/>
  <c r="H66" i="2"/>
  <c r="M66" i="2" s="1"/>
  <c r="H63" i="2"/>
  <c r="M63" i="2" s="1"/>
  <c r="G63" i="2"/>
  <c r="L63" i="2" s="1"/>
  <c r="E63" i="2"/>
  <c r="J63" i="2" s="1"/>
  <c r="F63" i="2"/>
  <c r="K63" i="2" s="1"/>
  <c r="I63" i="2"/>
  <c r="N63" i="2" s="1"/>
  <c r="C68" i="2"/>
  <c r="H19" i="2"/>
  <c r="M19" i="2" s="1"/>
  <c r="I19" i="2"/>
  <c r="N19" i="2" s="1"/>
  <c r="K19" i="2"/>
  <c r="J19" i="2"/>
  <c r="O19" i="2" s="1"/>
  <c r="G19" i="2"/>
  <c r="L19" i="2" s="1"/>
  <c r="F25" i="2"/>
  <c r="K25" i="2" s="1"/>
  <c r="H25" i="2"/>
  <c r="M25" i="2" s="1"/>
  <c r="I25" i="2"/>
  <c r="N25" i="2" s="1"/>
  <c r="G25" i="2"/>
  <c r="L25" i="2" s="1"/>
  <c r="J25" i="2"/>
  <c r="O25" i="2" s="1"/>
  <c r="G22" i="2"/>
  <c r="L22" i="2" s="1"/>
  <c r="J22" i="2"/>
  <c r="O22" i="2" s="1"/>
  <c r="F22" i="2"/>
  <c r="K22" i="2" s="1"/>
  <c r="H22" i="2"/>
  <c r="M22" i="2" s="1"/>
  <c r="I22" i="2"/>
  <c r="N22" i="2" s="1"/>
  <c r="G20" i="2"/>
  <c r="L20" i="2" s="1"/>
  <c r="J20" i="2"/>
  <c r="O20" i="2" s="1"/>
  <c r="F20" i="2"/>
  <c r="K20" i="2" s="1"/>
  <c r="H20" i="2"/>
  <c r="M20" i="2" s="1"/>
  <c r="I20" i="2"/>
  <c r="N20" i="2" s="1"/>
  <c r="G26" i="2"/>
  <c r="L26" i="2" s="1"/>
  <c r="J26" i="2"/>
  <c r="O26" i="2" s="1"/>
  <c r="F26" i="2"/>
  <c r="K26" i="2" s="1"/>
  <c r="H26" i="2"/>
  <c r="M26" i="2" s="1"/>
  <c r="I26" i="2"/>
  <c r="N26" i="2" s="1"/>
  <c r="F23" i="2"/>
  <c r="K23" i="2" s="1"/>
  <c r="H23" i="2"/>
  <c r="M23" i="2" s="1"/>
  <c r="I23" i="2"/>
  <c r="N23" i="2" s="1"/>
  <c r="G23" i="2"/>
  <c r="L23" i="2" s="1"/>
  <c r="J23" i="2"/>
  <c r="O23" i="2" s="1"/>
  <c r="E27" i="2"/>
  <c r="F21" i="2"/>
  <c r="K21" i="2" s="1"/>
  <c r="H21" i="2"/>
  <c r="M21" i="2" s="1"/>
  <c r="I21" i="2"/>
  <c r="N21" i="2" s="1"/>
  <c r="G21" i="2"/>
  <c r="L21" i="2" s="1"/>
  <c r="J21" i="2"/>
  <c r="O21" i="2" s="1"/>
  <c r="G24" i="2"/>
  <c r="L24" i="2" s="1"/>
  <c r="J24" i="2"/>
  <c r="O24" i="2" s="1"/>
  <c r="F24" i="2"/>
  <c r="K24" i="2" s="1"/>
  <c r="H24" i="2"/>
  <c r="M24" i="2" s="1"/>
  <c r="I24" i="2"/>
  <c r="N24" i="2" s="1"/>
  <c r="J61" i="2" l="1"/>
  <c r="E68" i="2"/>
  <c r="O65" i="2"/>
  <c r="O66" i="2"/>
  <c r="D68" i="2"/>
  <c r="O64" i="2"/>
  <c r="O63" i="2"/>
  <c r="O62" i="2"/>
  <c r="O67" i="2"/>
  <c r="P21" i="2"/>
  <c r="P26" i="2"/>
  <c r="O27" i="2"/>
  <c r="L27" i="2"/>
  <c r="P23" i="2"/>
  <c r="P20" i="2"/>
  <c r="M27" i="2"/>
  <c r="P25" i="2"/>
  <c r="P19" i="2"/>
  <c r="K27" i="2"/>
  <c r="P24" i="2"/>
  <c r="P22" i="2"/>
  <c r="N27" i="2"/>
  <c r="J27" i="2"/>
  <c r="H27" i="2"/>
  <c r="G27" i="2"/>
  <c r="F27" i="2"/>
  <c r="I27" i="2"/>
  <c r="N68" i="2" l="1"/>
  <c r="I68" i="2"/>
  <c r="L68" i="2"/>
  <c r="G68" i="2"/>
  <c r="M68" i="2"/>
  <c r="H68" i="2"/>
  <c r="K68" i="2"/>
  <c r="F68" i="2"/>
  <c r="P27" i="2"/>
  <c r="O61" i="2" l="1"/>
  <c r="O68" i="2" s="1"/>
  <c r="O69" i="2" s="1"/>
  <c r="J68" i="2"/>
</calcChain>
</file>

<file path=xl/comments1.xml><?xml version="1.0" encoding="utf-8"?>
<comments xmlns="http://schemas.openxmlformats.org/spreadsheetml/2006/main">
  <authors>
    <author>Auteur</author>
  </authors>
  <commentList>
    <comment ref="D34" authorId="0" shapeId="0">
      <text>
        <r>
          <rPr>
            <b/>
            <sz val="9"/>
            <color indexed="81"/>
            <rFont val="Tahoma"/>
            <family val="2"/>
          </rPr>
          <t>Auteur:</t>
        </r>
        <r>
          <rPr>
            <sz val="9"/>
            <color indexed="81"/>
            <rFont val="Tahoma"/>
            <family val="2"/>
          </rPr>
          <t xml:space="preserve">
L'état initial du tertiaire tel que chiffré dans le PTEF donne 0,27 Mtep de bois-énergie et 0,802 Mtep de chaleur de réseau, qui doivent correspondre aux "Autres combustibles". On effectue la moyenne pondérée des FE.</t>
        </r>
      </text>
    </comment>
    <comment ref="B37" authorId="0" shapeId="0">
      <text>
        <r>
          <rPr>
            <b/>
            <sz val="9"/>
            <color indexed="81"/>
            <rFont val="Tahoma"/>
            <family val="2"/>
          </rPr>
          <t>Auteur:</t>
        </r>
        <r>
          <rPr>
            <sz val="9"/>
            <color indexed="81"/>
            <rFont val="Tahoma"/>
            <family val="2"/>
          </rPr>
          <t xml:space="preserve">
Moyenne des FE de chaleur de réseau trouvés sur la Base Carbone de l'Ademe</t>
        </r>
      </text>
    </comment>
    <comment ref="B53" authorId="0" shapeId="0">
      <text>
        <r>
          <rPr>
            <b/>
            <sz val="9"/>
            <color indexed="81"/>
            <rFont val="Tahoma"/>
            <family val="2"/>
          </rPr>
          <t>Auteur:</t>
        </r>
        <r>
          <rPr>
            <sz val="9"/>
            <color indexed="81"/>
            <rFont val="Tahoma"/>
            <family val="2"/>
          </rPr>
          <t xml:space="preserve">
Une difficulté pour la distinction des deux types d'électricité : en fait, c'est un peu plus pour le chauffage et un peu moins pour l'élec hors chauffage, car on ne prend en compte que l'électricité des pompes à chaleur dans la catégorie chauffage et non celle des autres moyens de chauffage (effet joule). Mais on ne dispose pas des chiffres exacts pour les autres moyens de chauffage.</t>
        </r>
      </text>
    </comment>
    <comment ref="D76" authorId="0" shapeId="0">
      <text>
        <r>
          <rPr>
            <b/>
            <sz val="9"/>
            <color indexed="81"/>
            <rFont val="Tahoma"/>
            <family val="2"/>
          </rPr>
          <t>Auteur:</t>
        </r>
        <r>
          <rPr>
            <sz val="9"/>
            <color indexed="81"/>
            <rFont val="Tahoma"/>
            <family val="2"/>
          </rPr>
          <t xml:space="preserve">
L'état final du tertiaire tel que chiffré dans le PTEF donne 1,08% de bois-énergie et 17,79 % de chaleur de réseau, le reste des 23,39% étant de la "chaleur environnement" provenant des PAC (FE = 0) et un tout petit peu de déchets qu'on ne prend pas en compte ici. On effectue la moyenne pondérée des FE.</t>
        </r>
      </text>
    </comment>
    <comment ref="B79" authorId="0" shapeId="0">
      <text>
        <r>
          <rPr>
            <b/>
            <sz val="9"/>
            <color indexed="81"/>
            <rFont val="Tahoma"/>
            <family val="2"/>
          </rPr>
          <t>Auteur:</t>
        </r>
        <r>
          <rPr>
            <sz val="9"/>
            <color indexed="81"/>
            <rFont val="Tahoma"/>
            <family val="2"/>
          </rPr>
          <t xml:space="preserve">
Moyenne des FE de chaleur de réseau trouvés sur la Base Carbone de l'Ademe</t>
        </r>
      </text>
    </comment>
  </commentList>
</comments>
</file>

<file path=xl/sharedStrings.xml><?xml version="1.0" encoding="utf-8"?>
<sst xmlns="http://schemas.openxmlformats.org/spreadsheetml/2006/main" count="440" uniqueCount="259">
  <si>
    <t>Évolution des consommations totales du secteur tertiaire par branche (climat normal)</t>
  </si>
  <si>
    <t>(TWh)</t>
  </si>
  <si>
    <t>Branche</t>
  </si>
  <si>
    <t>Bureaux</t>
  </si>
  <si>
    <t>Hôtellerie-restauration</t>
  </si>
  <si>
    <t>Commerce</t>
  </si>
  <si>
    <t>Enseignement</t>
  </si>
  <si>
    <t>Habitat communautaire</t>
  </si>
  <si>
    <t>Santé</t>
  </si>
  <si>
    <t>Sport, Loisirs, Culture</t>
  </si>
  <si>
    <t>Transport</t>
  </si>
  <si>
    <t>Total général</t>
  </si>
  <si>
    <t>Évolution des consommations tous usages du secteur tertiaire selon l'énergie (climat normal)</t>
  </si>
  <si>
    <t>Énergie</t>
  </si>
  <si>
    <t>Gaz</t>
  </si>
  <si>
    <t>Fioul</t>
  </si>
  <si>
    <t>Autres combustibles</t>
  </si>
  <si>
    <t>Électricité</t>
  </si>
  <si>
    <t>source Ceren©</t>
  </si>
  <si>
    <t>Évolution des consommations de chauffage du secteur tertiaire selon l'énergie (climat normal)</t>
  </si>
  <si>
    <t>Part du secteur public (données CEREN  2007)</t>
  </si>
  <si>
    <t>Enseignement (primaire au supérieur)</t>
  </si>
  <si>
    <r>
      <t xml:space="preserve">Habitat communautaire (maisons de retraites et assimilés, centre de vacances, aide à domicile – Défense (caserne) – Justice (établissements pénitentiaires) – monastères et autres) </t>
    </r>
    <r>
      <rPr>
        <b/>
        <sz val="12"/>
        <color theme="1"/>
        <rFont val="Times New Roman"/>
        <family val="1"/>
      </rPr>
      <t>– mais pas les ESMS PH</t>
    </r>
  </si>
  <si>
    <t>Santé et social (hôpitaux et assimilés, mais aussi ESMS PH, hébergement, services à domicile enfants, PA, PH, crèches)</t>
  </si>
  <si>
    <t>Consommation énergétique totale 2019 TOUT TERTIAIRE (TWh) (source CEREN)</t>
  </si>
  <si>
    <t>Consommation énergétique totale 2019 TERTIAIRE PUBLIC (TWh)</t>
  </si>
  <si>
    <t>Électricité de chauffage</t>
  </si>
  <si>
    <t>Électricité hors chauffage</t>
  </si>
  <si>
    <t>Mix CEREN TOUT TERTIAIRE</t>
  </si>
  <si>
    <t>Total</t>
  </si>
  <si>
    <t>Consommation 2019 (TWh)</t>
  </si>
  <si>
    <t>Part (%)</t>
  </si>
  <si>
    <t>Facteurs d'émissions</t>
  </si>
  <si>
    <t>Fioul domestique, France continentale</t>
  </si>
  <si>
    <t>Granulés bois - 8% d'humidité, France continentale</t>
  </si>
  <si>
    <t>Electricité - 2018 - usage : chauffage - consommation, France continentale</t>
  </si>
  <si>
    <t>Electricité - 2018 - mix moyen - consommation</t>
  </si>
  <si>
    <t>Gaz naturel - 2015 - mix moyen - consommation, France continentale, France</t>
  </si>
  <si>
    <t>Valeur</t>
  </si>
  <si>
    <t>Unité</t>
  </si>
  <si>
    <t>Combustion</t>
  </si>
  <si>
    <t>Amont</t>
  </si>
  <si>
    <t>kgCO2e/kWh PCI</t>
  </si>
  <si>
    <t>kgCO2e/kWh</t>
  </si>
  <si>
    <t>Conso gaz (TWh)</t>
  </si>
  <si>
    <t>Conso Fioul (TWh)</t>
  </si>
  <si>
    <t>Conso Autres comb. (TWh)</t>
  </si>
  <si>
    <t>Conso élec hors chauffage (TWh)</t>
  </si>
  <si>
    <t>Conso Elec chauffage (TWh)</t>
  </si>
  <si>
    <t>Emissions gaz (MtCO2e)</t>
  </si>
  <si>
    <t>Emissions Fioul (MtCO2e)</t>
  </si>
  <si>
    <t>Emissions Autres comb. (MtCO2e)</t>
  </si>
  <si>
    <t>Emissions élec hors chauffage (MtCO2e)</t>
  </si>
  <si>
    <t>Emissions Elec chauffage (MtCO2e)</t>
  </si>
  <si>
    <t>Emissions totales (MtCO2e)</t>
  </si>
  <si>
    <t>Chaleur de réseau (moyenne des FE de la Base Carbone)</t>
  </si>
  <si>
    <t>Autres combustibles (mix bois/chaleur réseau)</t>
  </si>
  <si>
    <t>Mix PTEF TOUT TERTIAIRE</t>
  </si>
  <si>
    <t>Consommation énergétique TERTIAIRE PUBLIC à l'état initial (TWh)</t>
  </si>
  <si>
    <t>Consommation énergétique TERTIAIRE PUBLIC à l'état final (TWh)</t>
  </si>
  <si>
    <t>Commentaires</t>
  </si>
  <si>
    <t xml:space="preserve">Total </t>
  </si>
  <si>
    <t>Véhicules utilitaires légers</t>
  </si>
  <si>
    <t>Emissions usages (km parcourus) en MtCO2e</t>
  </si>
  <si>
    <t>Parc automobile public 2050 : 
- Réduction de 10% du parc
- Réduciton de 10% de la masse
- Tout électrique</t>
  </si>
  <si>
    <t>Parc automobile public 2020</t>
  </si>
  <si>
    <t>Baisse en %</t>
  </si>
  <si>
    <t>Eléctrique</t>
  </si>
  <si>
    <t>Gazole</t>
  </si>
  <si>
    <t>Essence</t>
  </si>
  <si>
    <t>Véhicules particuliers</t>
  </si>
  <si>
    <t>Calcul équipe MobiQuoti : 18 kWh/100km</t>
  </si>
  <si>
    <t>kgCO2e/km</t>
  </si>
  <si>
    <t>Calcul équipe MobiQuoti : 20,6 kWh/100km (HBFA - base européenne de référence)</t>
  </si>
  <si>
    <t>VUL électrique</t>
  </si>
  <si>
    <t>kgCO2e/t.km</t>
  </si>
  <si>
    <t xml:space="preserve">VUL - &lt; 3,5 tonnes - Diesel routier, incorporation 7 % de biodiesel </t>
  </si>
  <si>
    <t>VUL - &lt; 3,5 tonnes - Essence</t>
  </si>
  <si>
    <t>Calcul équipe MobiQuoti : 12,5 kWh/100km (on prend valeur "domicile travail" plutôt que longue distance en partant du principe que ce sont plutôt des tournées - Toujours 40g/kWh</t>
  </si>
  <si>
    <t>Données ADEME utlisé pour véhicule électrique moyenne gamme dans simulateur : 0,0198 kgCO2eq/km
Calcul équipe MobiQuoti : 17,8 kWh/100km + 40g/kWh</t>
  </si>
  <si>
    <t>Voiture - Motorisation électrique</t>
  </si>
  <si>
    <t>utilisé pour VL diesel</t>
  </si>
  <si>
    <t>Voiture - Motorisation gazole - 2018</t>
  </si>
  <si>
    <t>Utilisé pour VL essence</t>
  </si>
  <si>
    <t xml:space="preserve">Voiture - Motorisation essence - 2018 </t>
  </si>
  <si>
    <t>Facteurs émissions base carbone ADEME</t>
  </si>
  <si>
    <t>Masse moyenne VUL</t>
  </si>
  <si>
    <t xml:space="preserve">Masse moyenne voiture particulière </t>
  </si>
  <si>
    <t>Hypothèse : on prend la même répartition pour l'Etat - cohérent avec les "dires d'expert" sur la part de l'électrique</t>
  </si>
  <si>
    <t xml:space="preserve">Electricité </t>
  </si>
  <si>
    <t xml:space="preserve">Gazole </t>
  </si>
  <si>
    <t xml:space="preserve">Essence, super </t>
  </si>
  <si>
    <t>Loi de roulage</t>
  </si>
  <si>
    <t>Part motorisation hors PL pour bloc communal</t>
  </si>
  <si>
    <t>Véhicules de services PL</t>
  </si>
  <si>
    <t>Véhicules de services VUL</t>
  </si>
  <si>
    <t>Véhciules de services - VL</t>
  </si>
  <si>
    <t>Véhicules de services</t>
  </si>
  <si>
    <t>Véhicules opérationnels PL</t>
  </si>
  <si>
    <t>Véhciules opérationnels VUL</t>
  </si>
  <si>
    <t>Application données véhicules de services</t>
  </si>
  <si>
    <t>Véhicules opérationnels - VL</t>
  </si>
  <si>
    <t>Véhicules opérationnels</t>
  </si>
  <si>
    <t>Etat et établissements publics</t>
  </si>
  <si>
    <t>Conseils régionaux et départementaux (PL)</t>
  </si>
  <si>
    <t>Conseils régionaux et départementaux (VUL)</t>
  </si>
  <si>
    <t>Application proportion bloc communal</t>
  </si>
  <si>
    <t>Conseils régionaux et départementaux (VL)</t>
  </si>
  <si>
    <t>Données études ADEME</t>
  </si>
  <si>
    <t>Bloc communal (PL)</t>
  </si>
  <si>
    <t>Bloc communal (VUL)</t>
  </si>
  <si>
    <t>Bloc communal (VL)</t>
  </si>
  <si>
    <t>Collectivités</t>
  </si>
  <si>
    <t>Nombre de véhicules</t>
  </si>
  <si>
    <t>Sous-ensemble de l'administration publique</t>
  </si>
  <si>
    <t>Rapport masse moyenne VUL - masse moyenne VP</t>
  </si>
  <si>
    <t>Données secteur automobile PTEF</t>
  </si>
  <si>
    <r>
      <rPr>
        <b/>
        <sz val="11"/>
        <color rgb="FF0070C0"/>
        <rFont val="Calibri"/>
        <family val="2"/>
        <scheme val="minor"/>
      </rPr>
      <t>Hyp : on prend la masse moyenne des VUL</t>
    </r>
    <r>
      <rPr>
        <sz val="11"/>
        <color rgb="FF0070C0"/>
        <rFont val="Calibri"/>
        <family val="2"/>
        <scheme val="minor"/>
      </rPr>
      <t xml:space="preserve"> : 1680 kg</t>
    </r>
  </si>
  <si>
    <t>Etape de calcul</t>
  </si>
  <si>
    <t>Estimation de la flotte des communes et groupements de communes</t>
  </si>
  <si>
    <t>On a des ratios "nombres de véhicules/millier d'habitants", qu'on multiplie par le nombre d'habitants pour avoir le nombre total de véhicules. Et on répartit le parc de véhicules par véhicule type/motorisation selon l'étude utilisée.</t>
  </si>
  <si>
    <t>"Tableau 14 : Répartition du parc et de la consommation de carburants "</t>
  </si>
  <si>
    <t>Communes de métropole + 500 hab.</t>
  </si>
  <si>
    <t>Groupements de communes à fiscalité propre (GFP)</t>
  </si>
  <si>
    <t xml:space="preserve">Véhicules pour 1 000 hab. </t>
  </si>
  <si>
    <t xml:space="preserve">Véhicules légers </t>
  </si>
  <si>
    <t xml:space="preserve">Utilitaires &lt; 3,5 tonnes </t>
  </si>
  <si>
    <t xml:space="preserve">Utilitaires &gt; 3,5 tonnes </t>
  </si>
  <si>
    <t xml:space="preserve">Autre </t>
  </si>
  <si>
    <t>Méthodologie</t>
  </si>
  <si>
    <t>Etude de référence : Dépenses énergétiques des collectivités locales, ADEME, 2019, https://librairie.ademe.fr/urbanisme-et-batiment/493-depenses-energetiques-des-collectivites-locales.html et notamment https://librairie.ademe.fr/cadic/495/depenses-energetiques-collectivites_2019.pdf</t>
  </si>
  <si>
    <t>Dans cette étude, on trouve p21 :</t>
  </si>
  <si>
    <t xml:space="preserve">Hypothèse : on assimile "Autre" à de l'électricité </t>
  </si>
  <si>
    <t xml:space="preserve">Etape suivante </t>
  </si>
  <si>
    <t xml:space="preserve">Hypothèse : on considère que les poids lourds sont tous diesel et en déduit la répartition des motorisations hors PL </t>
  </si>
  <si>
    <t>On extrapole à l'ensmeble des communes de plus de 500 hab et leur population, et à l'ensemble des GFP.</t>
  </si>
  <si>
    <t>Source : Les collectivités locales en chiffres 2019, DGCL, 2019, https://www.collectivites-locales.gouv.fr/sites/default/files/Accueil/Etudes%20et%20statistiques/Documents%20de%20synth%C3%A8se/les_collectivites_locales_en_chiffres_2019.pdf</t>
  </si>
  <si>
    <t>Part motorisation</t>
  </si>
  <si>
    <t>Communes</t>
  </si>
  <si>
    <t>GFP</t>
  </si>
  <si>
    <t>PL compris</t>
  </si>
  <si>
    <t>Hors PL</t>
  </si>
  <si>
    <t>Total véhicules communes</t>
  </si>
  <si>
    <t>Total véhicules GFP</t>
  </si>
  <si>
    <t>Etape suivante</t>
  </si>
  <si>
    <t>On extrapole le nombre de voitures du bloc communal (total communes + GFP) aux conseils départementaux et conseils régionaux, sur la base du nombre d'agents. C'est-à-dire qu'on considère que le nombre de voitures par agents et le même quelle que soit la collectivité.</t>
  </si>
  <si>
    <t>Total bloc communal</t>
  </si>
  <si>
    <t>Part motorisation hors PL</t>
  </si>
  <si>
    <t>1,450 millions d'agents dans le bloc communal</t>
  </si>
  <si>
    <t>0,450 millions d'agents en départements et régions</t>
  </si>
  <si>
    <t>Données : DGFAP</t>
  </si>
  <si>
    <t>On applique la répartition selon le type de véhicules et selon le type de motorisation de l'ensemble du bloc communal.</t>
  </si>
  <si>
    <t>Type de véhicule</t>
  </si>
  <si>
    <t>Nombre</t>
  </si>
  <si>
    <t>On applique la répartition du bloc communal. Dire d'expert DAE : environ 40%</t>
  </si>
  <si>
    <t>Il s'agit là de PL ou de véhicules spécialisés qu'on écarte ensuite des calculs (on part du principe qu'on ne peut pas s'engager à les passer à 100% électriques)</t>
  </si>
  <si>
    <t>Véhicules de services "normaux"</t>
  </si>
  <si>
    <t>Emissions fabrication
(renouvellement tous les 7 ans)  en MtCO2e
Cf. feuille "calcul émissions fabrication"</t>
  </si>
  <si>
    <t>Emissions fabrication
(renouvellement tous les 10 ans) en MtCO2e
Cf. feuille "calcul émissions fabrication"</t>
  </si>
  <si>
    <t>VP</t>
  </si>
  <si>
    <t>VUL</t>
  </si>
  <si>
    <t>Commentaires JGB</t>
  </si>
  <si>
    <t xml:space="preserve">Masse moyenne VUL </t>
  </si>
  <si>
    <t>Allégement des véhicules</t>
  </si>
  <si>
    <t>EC Fab électrique 2050</t>
  </si>
  <si>
    <t>Parc roulant admin 2020</t>
  </si>
  <si>
    <t>Dont thermique</t>
  </si>
  <si>
    <t>Dont électrique</t>
  </si>
  <si>
    <t>Diminution de la flotte d'ici 2050</t>
  </si>
  <si>
    <t>Parc roulant Admin 2050
100% électrique</t>
  </si>
  <si>
    <t>Flotte 2030</t>
  </si>
  <si>
    <t>Emissions en tCO2e/véhicule</t>
  </si>
  <si>
    <t>Fabrication véhicule thermique 2020</t>
  </si>
  <si>
    <t>Fabrication véhicule électrique 2020</t>
  </si>
  <si>
    <t xml:space="preserve">Règle de 3 sur la masse moyenne pour les émissions de fabrication des VUL </t>
  </si>
  <si>
    <t>Masse moyenne en France des véhicules particuliers (ou véhicules légers)</t>
  </si>
  <si>
    <t>Véhicules utilitaires légers (VUL)</t>
  </si>
  <si>
    <t>Données du secteur "industrie automobile" compte tenu du mix actuel de véhicules électrifiés (une batterie de véhicule hybride est moins lourde et donc moins émettrice qu'une batterie de véhicule 100% électrique, dont la fabrication émet environ 6 tC02eq).</t>
  </si>
  <si>
    <t>On propose de prendre une baisse de 10% de la masse des véhicules (paramètre modificable dans les cases H7 et I7)</t>
  </si>
  <si>
    <t>Efficacité process + matériaux (-10%)</t>
  </si>
  <si>
    <t>Estimation du potentiel de gain en efficacité issue des travaux du secteur "industrie automobile" du Shift Project</t>
  </si>
  <si>
    <t>Batterie fabriquée en France</t>
  </si>
  <si>
    <t>Valeur issue des travaux du secteur "industrie automobile" du Shift Project</t>
  </si>
  <si>
    <t>Véhicules légers (VP)</t>
  </si>
  <si>
    <t>Paramètres modifiables si on veut tabler sur une autre évolution du volume du parc automobile</t>
  </si>
  <si>
    <t>Etape intermédiaire en 2030 - 100% électrique - 10% de masse en moins - pas d'efficacité énergétique - batterie marché international</t>
  </si>
  <si>
    <t>Hypothèse roulage : 14 000 km/an (case E27)</t>
  </si>
  <si>
    <t>Méthodologie :
- on utilise l'estimation du nombre de véhicules des collectivités calculées dans la feuille "estimation flotte collectivités"
- on répartit la flotte de l'Etat par type de véhicules et de motorisation en utilisant la répartition trouvée pour les collectivités (on estime alors que la part des Poids lourds dans la flotte des collectivités est la même que la part des véhicules spécialisés et poids lourds dans la flotte de l'Etat et de ses opérateurs)
- Les émissions sont liées à la consommation d'énergie : nb de km parcourus * facteur d'émission au km
- on reprend les calculs d'émissions à la fabrication de la feuille "calcul émissions fabrication"</t>
  </si>
  <si>
    <t>Cf. feuille estimation de la flotte et feuille générale.
Pour calculer les émissions uniquement de la flotte des collectivités ou uniquement de l'Etat et des établissements publics, ou d'une entité ou d'un autre sous-ensemble, il suffit de rentrer le nombre de véhicules légers et de VUL dns les case D13 et E13</t>
  </si>
  <si>
    <t>Période de renouvellement (nombre d'années) en 2020</t>
  </si>
  <si>
    <t>Période de renouvellement (nombre d'années) en 2050</t>
  </si>
  <si>
    <t>Emission véhicule électrique fabrication 2030 (hypothèse pas de gain efficacité, batterie marché internationale) en tCO2eq</t>
  </si>
  <si>
    <t>Emission fabrication Flotte 2030 en MtCO2eq</t>
  </si>
  <si>
    <t>Emission fabrication annuelle (renouvellement tous les 10 ans)</t>
  </si>
  <si>
    <t>Emissions annuelles fabrication flotte 2020 (renouvellement tous les 7 ans) en MtCO2e</t>
  </si>
  <si>
    <t>Emissions fabrication annuelles flotte 2050 (renouvellement tous les 10 ans)  en MtCO2e</t>
  </si>
  <si>
    <t>Emissions fabrication flotte en 2020 (MtCO2e)</t>
  </si>
  <si>
    <t>Emissions fabrication flotte en 2050</t>
  </si>
  <si>
    <t>Explications sur la méthodologie :
- on utilise les données des travaux du Shift Project sur le secteur automobile sur les émissions à la fabrication en 2020 et les émissions supposées en 2050
- on applique ces données à la flotte publique telle qu'estimée par ailleurs, en séparant véhicules légers et véhicules utilitaires légers ce qui permet de calculer les émissions de fabrication de tout le parc automobile ;
- pour calculer les émissions annuelles, on considère la période de renouvellement en vigueur et on divise les émissions de fabrication par cette période (ce qui revient au même,en période de croisière, que d'affecter à une année les émissions des seules voitures achetées cette année-là)
- on vise en 2050 un parc électrificé à 100% pour ces véhicules, avec une masse réduite de 10% et un renouvellement moins fréquent
- on calcule une étape intermédiaire en 2030 : 100% de véhicules électriques un peu moins lourds, mais sans intégrer d'efficacité du process de fabrication ou la fabrication des batteries en France
- les cases en violet foncé sont les cases où on peut faire évoluer certains paramètres (taille de la flotte, diminution de la masse, évolution du volume du parc entre 2020 et 2050; fréquence de renouvellement en 2020 et en 2050)</t>
  </si>
  <si>
    <t>Restauration universitaire</t>
  </si>
  <si>
    <t>69 millions de repas par an</t>
  </si>
  <si>
    <t>https://www.etudiant.gouv.fr/fr/achat-alimentaire-responsable-en-2020-1084</t>
  </si>
  <si>
    <t>Restaurants administratifs et inter-administratifs – y compris armée</t>
  </si>
  <si>
    <t>Environ 155 millions de repas</t>
  </si>
  <si>
    <t>Etablissements de santé</t>
  </si>
  <si>
    <t>220 millions de repas dans l’hôpital public</t>
  </si>
  <si>
    <t>Etablissements médico-sociaux</t>
  </si>
  <si>
    <t>Etablissements pénitentiaires</t>
  </si>
  <si>
    <t>54,75 millions de repas par an (sans compter les personnels – inclus dans déjeuners des agents)</t>
  </si>
  <si>
    <t xml:space="preserve">75 000 personnes sous écrou dans 187 établissements
http://www.justice.gouv.fr/prison-et-reinsertion-10036/les-chiffres-clefs-10041/
2 repas par jour.
</t>
  </si>
  <si>
    <t>Baisse des émissions liées à la lutte contre le gaspillage alimentaire</t>
  </si>
  <si>
    <t>Evaluation du nombre de repas servis</t>
  </si>
  <si>
    <t>Calcul</t>
  </si>
  <si>
    <t>Types d’établissements</t>
  </si>
  <si>
    <t>Explications</t>
  </si>
  <si>
    <t>Etablissements scolaires (maternelle au lycée)</t>
  </si>
  <si>
    <t>Public : 915 millions de repas dans les cantines scolaires publiques
Privé : 187 millions en plus si on prend en compte le secteur scolaire privé</t>
  </si>
  <si>
    <r>
      <rPr>
        <u/>
        <sz val="11"/>
        <color theme="1"/>
        <rFont val="Calibri"/>
        <family val="2"/>
        <scheme val="minor"/>
      </rPr>
      <t>Calcul 1 :</t>
    </r>
    <r>
      <rPr>
        <sz val="11"/>
        <color theme="1"/>
        <rFont val="Calibri"/>
        <family val="2"/>
        <scheme val="minor"/>
      </rPr>
      <t xml:space="preserve"> Secteur scolaire (public + privé) : 7,4 millions de repas par jour (avec enseignement supérieur - https://restauco.fr/ ) soit avec 160 jours par an (côte mal taillée entre semaine de 4 jours, 5 jours et 4,5 jours), cela donne 1,2 milliards de repas par an – on néglige les 69 millions des restaurants universitaires.
</t>
    </r>
    <r>
      <rPr>
        <u/>
        <sz val="11"/>
        <color theme="1"/>
        <rFont val="Calibri"/>
        <family val="2"/>
        <scheme val="minor"/>
      </rPr>
      <t>Calcul 2 :</t>
    </r>
    <r>
      <rPr>
        <sz val="11"/>
        <color theme="1"/>
        <rFont val="Calibri"/>
        <family val="2"/>
        <scheme val="minor"/>
      </rPr>
      <t xml:space="preserve"> 12,4 millions d’élèves en premier et second degré. 
Etude ANSES : 
(https://www.anses.fr/fr/system/files/NUT2014SA0234Ra.pdf - page 243 et suivantes)
40% des déjeuners hors domicile dont 60% à la cantine : 1,086 milliards de déjeuners (12,4 x 365 x 0,40 x 0,60)
10,3% des dîners hors domicile dont 3,6% à la cantine : 16,8 millions de déjeuners (12,4 x 365 x 0,103 x 0,036)
Donc : environ 1,1 milliards de repas scolaires
</t>
    </r>
    <r>
      <rPr>
        <u/>
        <sz val="11"/>
        <color theme="1"/>
        <rFont val="Calibri"/>
        <family val="2"/>
        <scheme val="minor"/>
      </rPr>
      <t>Répartition public/privé :</t>
    </r>
    <r>
      <rPr>
        <sz val="11"/>
        <color theme="1"/>
        <rFont val="Calibri"/>
        <family val="2"/>
        <scheme val="minor"/>
      </rPr>
      <t xml:space="preserve">
https://www.education.gouv.fr/l-education-nationale-en-chiffres-2020-305457
5,8 millions d’élèves dans le premier degré public sur 6,7 millions au total
4,5 millions d’élèves dans le second degré public sur 5,7 millions au total
Donc 10,3 millions d’élèves dans le public sur 12,4 (83%)
En reprenant le calcul n°2 : 1102,8 x 0,83 = 915 millions de repas dans le public, et donc 187 millions dans le privé</t>
    </r>
  </si>
  <si>
    <t>Etablissements accueil enfants (crèches, pouponnières, halte-garderie, etc.)</t>
  </si>
  <si>
    <r>
      <rPr>
        <sz val="11"/>
        <rFont val="Calibri"/>
        <family val="2"/>
        <scheme val="minor"/>
      </rPr>
      <t xml:space="preserve">Selon L’ANSES (https://www.anses.fr/fr/system/files/NUT2014SA0234Ra.pdf - page 254 à 256), les adultes prennent 38% de leurs déjeuners hors domicile en semaine, parmi lesquels 33% sont pris « à la cantine » (si « en général », 32% hors domicile dont 24% à la cantine). 
A appliquer aux 5,9 millions d’agents publics, avec 200 jours de travail par an.
Approximation grossière assumée : certains vont dans des RIE… mais inversement certains agents privés vont dans des RIA.
</t>
    </r>
    <r>
      <rPr>
        <u/>
        <sz val="11"/>
        <rFont val="Calibri"/>
        <family val="2"/>
        <scheme val="minor"/>
      </rPr>
      <t xml:space="preserve">2 options : </t>
    </r>
    <r>
      <rPr>
        <sz val="11"/>
        <rFont val="Calibri"/>
        <family val="2"/>
        <scheme val="minor"/>
      </rPr>
      <t xml:space="preserve">
Chiffres en semaine : 5 900 000 x 200 x 0,38 x 0,33 = 148 millions de repas
Chiffres « en général » : 5 900 000 x 365 x 0,32 x 0,24 = 165 millions de repas
</t>
    </r>
    <r>
      <rPr>
        <u/>
        <sz val="11"/>
        <rFont val="Calibri"/>
        <family val="2"/>
        <scheme val="minor"/>
      </rPr>
      <t xml:space="preserve">Chiffres Restau’Co :
</t>
    </r>
    <r>
      <rPr>
        <sz val="11"/>
        <rFont val="Calibri"/>
        <family val="2"/>
        <scheme val="minor"/>
      </rPr>
      <t>(https://restauco.fr/)
1.9 millions de repas par jour, dont 20% public.
1,9 x 365 x 0,20 = 139 millions de repas</t>
    </r>
  </si>
  <si>
    <t>https://restauco.fr/ : 1 million de repas par jour – 60,5% hôpital public : 221 millions de repas.</t>
  </si>
  <si>
    <t xml:space="preserve">https://restauco.fr/ : 2,5 millions de repas par jour (en enlevant les crèches à la proportionnelle…) dont 37% dans des EHPAD publics et 24% dans des ESMS PH ou personnes en difficultés.
On prend l’hypothèse que 50% environ des ESMS PH ou personnes en difficultés seraient publics.
2,5 x 365 x (0,37 + 0,24/2) = 447 millions de repas
Limite du calcul : une partie des repas des EHPAD est peut-être déjà comptée dans les repas de l’hôpital public (puisque les EHPAD hospitaliers représentent une part importante des EHPAD publics). Cela étant, si on retire près de la moitié des EHPAD du calcul réalisé ici, cela représente plus de 100 millions de repas, ce qui paraît être une part importante du calcul réalisé pour le secteur hospitalier. Par ailleurs dès lors qu’on part des chiffres de Restau’Co, on considère que ces chiffres ne comptent pas deux fois les repas des EHPAD hospitaliers.
</t>
  </si>
  <si>
    <t>Nombre de repas (millions)</t>
  </si>
  <si>
    <t>Source ADEME (https://www.bilans-ges.ademe.fr/fr/basecarbone/donnees-consulter/liste-element?recherche=repas)</t>
  </si>
  <si>
    <t xml:space="preserve">Baisse du facteur d'émission moyen des repas en France </t>
  </si>
  <si>
    <t>Baisse liée à la recomposition des menus - estimation du projet "Agriculture et alimentation" du PTEF</t>
  </si>
  <si>
    <t>Alimentation</t>
  </si>
  <si>
    <t>Déplacements domicile-travail</t>
  </si>
  <si>
    <t>Facteur d'émission (kgCO2eq)</t>
  </si>
  <si>
    <t>Emissions totales (MtCO2eq)</t>
  </si>
  <si>
    <t>Emissions dues aux déplacements domicile-travail de l'administration publique</t>
  </si>
  <si>
    <t>Emissions dues à l'alimentation de l'administration publique</t>
  </si>
  <si>
    <t>Calcul du Shift Project sur la base des données DGAFP - cf. rapport</t>
  </si>
  <si>
    <t>Moyenne pondérée des postes 22 des bilans carbone Etat, collectivités et établissements publics de la base ADEME sur la période 2017-2019</t>
  </si>
  <si>
    <t>Emissions moyennes par agent / an (tCO2eq)</t>
  </si>
  <si>
    <t xml:space="preserve">Emissions totales (MtCO2eq) </t>
  </si>
  <si>
    <t>Déplacements domicile travail tous agents publics</t>
  </si>
  <si>
    <t>Réduction PTEF du facteur d'émission des déplacements domicile travail tout actif</t>
  </si>
  <si>
    <t>Calculs du secteur "Mobilité quotidienne" du PTEF intégrant l'évolution du mix modal, l'efficacité énergétique, le passage au tout électrique dans les transports et la réduction des km parcourus (hypothèse de 20% de jours télétravaillés - ce paramètre influence peu le résultat final)</t>
  </si>
  <si>
    <t>Ratio état final/état initial</t>
  </si>
  <si>
    <t>Nombre d'agents publics (en millions)</t>
  </si>
  <si>
    <t>Mix énergétique</t>
  </si>
  <si>
    <t>Emissions dues à l'utilisation des bâtiments de l'administration publique (2020)</t>
  </si>
  <si>
    <t>Utilisation des bâtiments</t>
  </si>
  <si>
    <t>ETAT INITIAL 2020</t>
  </si>
  <si>
    <t>ETAT FINAL 2050</t>
  </si>
  <si>
    <t>Emissions dues à l'utilisation des bâtiments de l'administration publique (2050)</t>
  </si>
  <si>
    <t>Hypothèse d'évolution de la consommation d'énergie finale (état final/état initial)</t>
  </si>
  <si>
    <t>Evolution de la consommation d'énergie finale</t>
  </si>
  <si>
    <t>Utilisation du document et menu</t>
  </si>
  <si>
    <r>
      <rPr>
        <b/>
        <sz val="11"/>
        <color theme="1"/>
        <rFont val="Calibri"/>
        <family val="2"/>
        <scheme val="minor"/>
      </rPr>
      <t>Ce tableur reprend les calculs effectués dans le cadre du projet "Administration publique" du PTEF.</t>
    </r>
    <r>
      <rPr>
        <sz val="11"/>
        <color theme="1"/>
        <rFont val="Calibri"/>
        <family val="2"/>
        <scheme val="minor"/>
      </rPr>
      <t xml:space="preserve">
- Les </t>
    </r>
    <r>
      <rPr>
        <b/>
        <sz val="11"/>
        <color theme="1"/>
        <rFont val="Calibri"/>
        <family val="2"/>
        <scheme val="minor"/>
      </rPr>
      <t>déplacements domicile-travail</t>
    </r>
    <r>
      <rPr>
        <sz val="11"/>
        <color theme="1"/>
        <rFont val="Calibri"/>
        <family val="2"/>
        <scheme val="minor"/>
      </rPr>
      <t xml:space="preserve"> font l'objet d'une feuille de calcul.
- Les calculs relatifs au </t>
    </r>
    <r>
      <rPr>
        <b/>
        <sz val="11"/>
        <color theme="1"/>
        <rFont val="Calibri"/>
        <family val="2"/>
        <scheme val="minor"/>
      </rPr>
      <t>parc automobile</t>
    </r>
    <r>
      <rPr>
        <sz val="11"/>
        <color theme="1"/>
        <rFont val="Calibri"/>
        <family val="2"/>
        <scheme val="minor"/>
      </rPr>
      <t xml:space="preserve"> sont répartis dans 3 feuilles :
1) Estimation de la flotte des collectivités ;
2) Calcul des émissions à la fabrication ;
3) Emissions totales annuelles reprenant les calculs précédents.
- Les calculs relatifs à l'</t>
    </r>
    <r>
      <rPr>
        <b/>
        <sz val="11"/>
        <color theme="1"/>
        <rFont val="Calibri"/>
        <family val="2"/>
        <scheme val="minor"/>
      </rPr>
      <t>utilisation des bâtiments</t>
    </r>
    <r>
      <rPr>
        <sz val="11"/>
        <color theme="1"/>
        <rFont val="Calibri"/>
        <family val="2"/>
        <scheme val="minor"/>
      </rPr>
      <t xml:space="preserve"> sont répartis dans 2 feuilles de calcul :
1) Données brutes utilisées ;
2) Calcul des émissions en 2020 et en 2050.
- Les calculs liés à l'</t>
    </r>
    <r>
      <rPr>
        <b/>
        <sz val="11"/>
        <color theme="1"/>
        <rFont val="Calibri"/>
        <family val="2"/>
        <scheme val="minor"/>
      </rPr>
      <t>alimentation</t>
    </r>
    <r>
      <rPr>
        <sz val="11"/>
        <color theme="1"/>
        <rFont val="Calibri"/>
        <family val="2"/>
        <scheme val="minor"/>
      </rPr>
      <t xml:space="preserve">, permettant d'estimer le nombre de repas préparés dans les restaurants collectifs publics et les émissions associées font l'objet d'une feuille dans laquelle les sources et hypothèses sont présentées.
Dans chaque feuille figurent, sous des formes différentes, des explications relatives à la méthode de calcul et aux hypothèses prises, ainsi que les sources de données utilisées.
Pour tout renseignement complémentaire, </t>
    </r>
    <r>
      <rPr>
        <b/>
        <sz val="11"/>
        <color theme="1"/>
        <rFont val="Calibri"/>
        <family val="2"/>
        <scheme val="minor"/>
      </rPr>
      <t>contacter administration-publique@theshiftproject.org</t>
    </r>
  </si>
  <si>
    <t>Estimation flotte collectivités</t>
  </si>
  <si>
    <t>Emissions fabrication véhicules</t>
  </si>
  <si>
    <t>Emissions parc automobile</t>
  </si>
  <si>
    <t xml:space="preserve">On prend l'hyptohèse que l'administration diminue sa consommation de 60% en moyenne. Ceci va un peu plus loin que le décret tertiaire qui prévoit -60% OU pour les bâtiments déjà efficaces du point de vue énergétique, le respect d'un niveau absolu de consommaiton énergétique. C'est-à-dire que certains bâtiments publics ne devront pas réduire leur consommation d'énergie de 60% mais atteindre un seuil exprimé en unité énergétique : ils réduisent donc leur consommaiton de moins de 60%. Cela étant, certains travaux sur de vieux bâtiments permettront d'aller au-delà de 60% compte tenu du potentiel de réduction de la consommation existant. Aussi on retient un objectif moyen de -60%, faute de disposer d'une typologie précise des bâtiments publics. </t>
  </si>
  <si>
    <t>Chiffre régulièrement mentionné par les experts et repris le projet "agriculture et alimentation" du PTEF</t>
  </si>
  <si>
    <t>Environ 450 millions de repas dans des ESMS publics</t>
  </si>
  <si>
    <t>64 millions de repas pour le secteur public
(28 pour le privé - non pris en compte)</t>
  </si>
  <si>
    <r>
      <t xml:space="preserve">Source CNAF : https://www.caf.fr/sites/default/files/cnaf/Documents/Dser/observatoire_petite_enfance/32709%20-%20Cnaf%20Rapport%20Onape%20Accueil%20jeune%20enfant%202019_v9.pdf
460 000 places dans des EAJE (page 24).
Environ 80% avec un repas (tous sauf moins de 4h) – page 72 et suivantes
Equivalent : 154 jours d’ouverture par an à temps complet (ce qui est à peu près cohérent avec 80% de 200 jours d’ouverture en moyenne).
[Restau’Co : 7% environ des 2,4 millions de repas jour dans le « médico-social » pour les crèches : 73 millions de repas – un peu en dessous). 
</t>
    </r>
    <r>
      <rPr>
        <u/>
        <sz val="11"/>
        <color theme="1"/>
        <rFont val="Calibri"/>
        <family val="2"/>
        <scheme val="minor"/>
      </rPr>
      <t>Répartition public/privé :</t>
    </r>
    <r>
      <rPr>
        <sz val="11"/>
        <color theme="1"/>
        <rFont val="Calibri"/>
        <family val="2"/>
        <scheme val="minor"/>
      </rPr>
      <t xml:space="preserve"> 
En 2010, 70% des places gérées par des collectivités ou CCAS (le reste par des associations = privé non lucratif)
https://www.caf.fr/sites/default/files/cnaf/Documents/Dser/essentiel/132%20ESSENTIEL%20-%20EAJE.pdf
Les deux sont soumis aux obligations EGALIM, mais pour le calcul on ne prend en compte que la partie publique sur laquelle l'administration a directement la main.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</si>
</sst>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000"/>
    <numFmt numFmtId="165" formatCode="_-* #,##0.000\ _€_-;\-* #,##0.000\ _€_-;_-* &quot;-&quot;???\ _€_-;_-@_-"/>
    <numFmt numFmtId="166" formatCode="_ * #,##0.00_)_ ;_ * \(#,##0.00\)_ ;_ * &quot;-&quot;??_)_ ;_ @_ "/>
    <numFmt numFmtId="167" formatCode="_ * #,##0_)_ ;_ * \(#,##0\)_ ;_ * &quot;-&quot;??_)_ ;_ @_ "/>
    <numFmt numFmtId="168" formatCode="_ * #,##0.000_)_ ;_ * \(#,##0.000\)_ ;_ * &quot;-&quot;??_)_ ;_ @_ "/>
    <numFmt numFmtId="169" formatCode="0.0"/>
    <numFmt numFmtId="170" formatCode="_-* #,##0.00_-;\-* #,##0.00_-;_-* &quot;-&quot;??_-;_-@_-"/>
    <numFmt numFmtId="171" formatCode="_-* #,##0_-;\-* #,##0_-;_-* &quot;-&quot;??_-;_-@_-"/>
    <numFmt numFmtId="172" formatCode="_-* #,##0.000\ _€_-;\-* #,##0.000\ _€_-;_-* &quot;-&quot;??\ _€_-;_-@_-"/>
  </numFmts>
  <fonts count="30" x14ac:knownFonts="1">
    <font>
      <sz val="11"/>
      <color theme="1"/>
      <name val="Calibri"/>
      <family val="2"/>
      <scheme val="minor"/>
    </font>
    <font>
      <b/>
      <sz val="11"/>
      <color theme="1"/>
      <name val="Calibri"/>
      <family val="2"/>
      <scheme val="minor"/>
    </font>
    <font>
      <b/>
      <sz val="12"/>
      <color theme="1"/>
      <name val="Calibri Light"/>
      <family val="2"/>
    </font>
    <font>
      <sz val="10"/>
      <color theme="1"/>
      <name val="Calibri Light"/>
      <family val="2"/>
    </font>
    <font>
      <sz val="10"/>
      <color theme="1"/>
      <name val="Calibri"/>
      <family val="2"/>
      <scheme val="minor"/>
    </font>
    <font>
      <b/>
      <sz val="10"/>
      <color theme="0"/>
      <name val="Calibri Light"/>
      <family val="2"/>
    </font>
    <font>
      <sz val="10"/>
      <color theme="1"/>
      <name val="Times New Roman"/>
      <family val="1"/>
    </font>
    <font>
      <sz val="12"/>
      <color theme="1"/>
      <name val="Times New Roman"/>
      <family val="1"/>
    </font>
    <font>
      <i/>
      <sz val="12"/>
      <color theme="1"/>
      <name val="Times New Roman"/>
      <family val="1"/>
    </font>
    <font>
      <b/>
      <sz val="12"/>
      <color theme="1"/>
      <name val="Times New Roman"/>
      <family val="1"/>
    </font>
    <font>
      <sz val="9"/>
      <color indexed="81"/>
      <name val="Tahoma"/>
      <family val="2"/>
    </font>
    <font>
      <b/>
      <sz val="9"/>
      <color indexed="81"/>
      <name val="Tahoma"/>
      <family val="2"/>
    </font>
    <font>
      <sz val="11"/>
      <color theme="1"/>
      <name val="Calibri"/>
      <family val="2"/>
      <scheme val="minor"/>
    </font>
    <font>
      <i/>
      <sz val="11"/>
      <color theme="1"/>
      <name val="Calibri"/>
      <family val="2"/>
      <scheme val="minor"/>
    </font>
    <font>
      <sz val="11"/>
      <color rgb="FFFF0000"/>
      <name val="Calibri"/>
      <family val="2"/>
      <scheme val="minor"/>
    </font>
    <font>
      <sz val="11"/>
      <color rgb="FF0070C0"/>
      <name val="Calibri"/>
      <family val="2"/>
      <scheme val="minor"/>
    </font>
    <font>
      <b/>
      <sz val="11"/>
      <color rgb="FF0070C0"/>
      <name val="Calibri"/>
      <family val="2"/>
      <scheme val="minor"/>
    </font>
    <font>
      <i/>
      <sz val="11"/>
      <color rgb="FF0070C0"/>
      <name val="Calibri"/>
      <family val="2"/>
      <scheme val="minor"/>
    </font>
    <font>
      <b/>
      <sz val="11"/>
      <color theme="5" tint="-0.249977111117893"/>
      <name val="Calibri"/>
      <family val="2"/>
      <scheme val="minor"/>
    </font>
    <font>
      <b/>
      <sz val="11"/>
      <color rgb="FF00B0F0"/>
      <name val="Calibri"/>
      <family val="2"/>
      <scheme val="minor"/>
    </font>
    <font>
      <sz val="11"/>
      <color rgb="FF000000"/>
      <name val="Calibri"/>
      <family val="2"/>
    </font>
    <font>
      <sz val="11"/>
      <color rgb="FF0070C0"/>
      <name val="Calibri"/>
      <family val="2"/>
    </font>
    <font>
      <sz val="11"/>
      <color theme="4"/>
      <name val="Calibri"/>
      <family val="2"/>
      <scheme val="minor"/>
    </font>
    <font>
      <sz val="11"/>
      <color theme="4"/>
      <name val="Calibri"/>
      <family val="2"/>
    </font>
    <font>
      <sz val="9"/>
      <color theme="1"/>
      <name val="Calibri"/>
      <family val="2"/>
      <scheme val="minor"/>
    </font>
    <font>
      <u/>
      <sz val="11"/>
      <color theme="10"/>
      <name val="Calibri"/>
      <family val="2"/>
      <scheme val="minor"/>
    </font>
    <font>
      <sz val="11"/>
      <name val="Calibri"/>
      <family val="2"/>
      <scheme val="minor"/>
    </font>
    <font>
      <u/>
      <sz val="11"/>
      <color theme="1"/>
      <name val="Calibri"/>
      <family val="2"/>
      <scheme val="minor"/>
    </font>
    <font>
      <u/>
      <sz val="11"/>
      <name val="Calibri"/>
      <family val="2"/>
      <scheme val="minor"/>
    </font>
    <font>
      <b/>
      <sz val="20"/>
      <color theme="0" tint="-4.9989318521683403E-2"/>
      <name val="Calibri"/>
      <family val="2"/>
      <scheme val="minor"/>
    </font>
  </fonts>
  <fills count="24">
    <fill>
      <patternFill patternType="none"/>
    </fill>
    <fill>
      <patternFill patternType="gray125"/>
    </fill>
    <fill>
      <patternFill patternType="solid">
        <fgColor rgb="FF8B2077"/>
        <bgColor indexed="64"/>
      </patternFill>
    </fill>
    <fill>
      <patternFill patternType="solid">
        <fgColor theme="0" tint="-4.9989318521683403E-2"/>
        <bgColor indexed="64"/>
      </patternFill>
    </fill>
    <fill>
      <patternFill patternType="solid">
        <fgColor rgb="FFD8D8D8"/>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4"/>
        <bgColor indexed="64"/>
      </patternFill>
    </fill>
    <fill>
      <patternFill patternType="solid">
        <fgColor rgb="FFFFFF00"/>
        <bgColor indexed="64"/>
      </patternFill>
    </fill>
    <fill>
      <patternFill patternType="solid">
        <fgColor rgb="FFDEEAF6"/>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92D05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0"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rgb="FFABABAB"/>
      </left>
      <right style="medium">
        <color rgb="FFABABAB"/>
      </right>
      <top style="medium">
        <color rgb="FFABABAB"/>
      </top>
      <bottom style="medium">
        <color rgb="FFABABAB"/>
      </bottom>
      <diagonal/>
    </border>
    <border>
      <left/>
      <right style="medium">
        <color rgb="FFABABAB"/>
      </right>
      <top style="medium">
        <color rgb="FFABABAB"/>
      </top>
      <bottom style="medium">
        <color rgb="FFABABAB"/>
      </bottom>
      <diagonal/>
    </border>
    <border>
      <left style="medium">
        <color rgb="FFABABAB"/>
      </left>
      <right style="medium">
        <color rgb="FFABABAB"/>
      </right>
      <top/>
      <bottom style="medium">
        <color rgb="FFABABAB"/>
      </bottom>
      <diagonal/>
    </border>
    <border>
      <left/>
      <right style="medium">
        <color rgb="FFABABAB"/>
      </right>
      <top/>
      <bottom style="medium">
        <color rgb="FFABABAB"/>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9" fontId="12" fillId="0" borderId="0" applyFont="0" applyFill="0" applyBorder="0" applyAlignment="0" applyProtection="0"/>
    <xf numFmtId="166" fontId="12" fillId="0" borderId="0" applyFont="0" applyFill="0" applyBorder="0" applyAlignment="0" applyProtection="0"/>
    <xf numFmtId="170" fontId="12" fillId="0" borderId="0" applyFont="0" applyFill="0" applyBorder="0" applyAlignment="0" applyProtection="0"/>
    <xf numFmtId="0" fontId="25" fillId="0" borderId="0" applyNumberFormat="0" applyFill="0" applyBorder="0" applyAlignment="0" applyProtection="0"/>
    <xf numFmtId="43" fontId="12" fillId="0" borderId="0" applyFont="0" applyFill="0" applyBorder="0" applyAlignment="0" applyProtection="0"/>
  </cellStyleXfs>
  <cellXfs count="302">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center" vertical="center"/>
    </xf>
    <xf numFmtId="0" fontId="3" fillId="0" borderId="0" xfId="0" applyFont="1" applyAlignment="1">
      <alignment horizontal="right"/>
    </xf>
    <xf numFmtId="0" fontId="5" fillId="2" borderId="1" xfId="0" applyFont="1" applyFill="1" applyBorder="1" applyAlignment="1">
      <alignment horizontal="left"/>
    </xf>
    <xf numFmtId="0" fontId="5" fillId="2" borderId="1" xfId="0" applyFont="1" applyFill="1" applyBorder="1" applyAlignment="1">
      <alignment horizontal="center" wrapText="1"/>
    </xf>
    <xf numFmtId="0" fontId="3" fillId="3" borderId="1" xfId="0" applyFont="1" applyFill="1" applyBorder="1" applyAlignment="1">
      <alignment horizontal="left"/>
    </xf>
    <xf numFmtId="3" fontId="3" fillId="0" borderId="1" xfId="0" applyNumberFormat="1" applyFont="1" applyBorder="1" applyAlignment="1">
      <alignment horizontal="right" wrapText="1" indent="1"/>
    </xf>
    <xf numFmtId="3" fontId="5" fillId="2" borderId="1" xfId="0" applyNumberFormat="1" applyFont="1" applyFill="1" applyBorder="1" applyAlignment="1">
      <alignment horizontal="right" indent="1"/>
    </xf>
    <xf numFmtId="3" fontId="5" fillId="2" borderId="1" xfId="0" applyNumberFormat="1" applyFont="1" applyFill="1" applyBorder="1" applyAlignment="1">
      <alignment horizontal="right" wrapText="1" indent="1"/>
    </xf>
    <xf numFmtId="0" fontId="3" fillId="0" borderId="0" xfId="0" applyFont="1" applyFill="1"/>
    <xf numFmtId="1" fontId="3" fillId="0" borderId="0" xfId="0" applyNumberFormat="1" applyFont="1"/>
    <xf numFmtId="3" fontId="3" fillId="0" borderId="0" xfId="0" applyNumberFormat="1" applyFont="1" applyAlignment="1">
      <alignment horizontal="right"/>
    </xf>
    <xf numFmtId="0" fontId="4" fillId="0" borderId="0" xfId="0" applyFont="1" applyAlignment="1">
      <alignment vertical="center"/>
    </xf>
    <xf numFmtId="1" fontId="3" fillId="0" borderId="0" xfId="0" applyNumberFormat="1" applyFont="1" applyAlignment="1">
      <alignment horizontal="right"/>
    </xf>
    <xf numFmtId="0" fontId="6" fillId="0" borderId="2" xfId="0" applyFont="1" applyBorder="1" applyAlignment="1">
      <alignment vertical="center" wrapText="1"/>
    </xf>
    <xf numFmtId="0" fontId="8" fillId="0" borderId="3" xfId="0" applyFont="1" applyBorder="1" applyAlignment="1">
      <alignment vertical="center" wrapText="1"/>
    </xf>
    <xf numFmtId="0" fontId="9" fillId="4" borderId="4" xfId="0" applyFont="1" applyFill="1" applyBorder="1" applyAlignment="1">
      <alignment vertical="center" wrapText="1"/>
    </xf>
    <xf numFmtId="0" fontId="9" fillId="4" borderId="5" xfId="0" applyFont="1" applyFill="1" applyBorder="1" applyAlignment="1">
      <alignment vertical="center" wrapText="1"/>
    </xf>
    <xf numFmtId="0" fontId="7" fillId="0" borderId="4" xfId="0" applyFont="1" applyBorder="1" applyAlignment="1">
      <alignment vertical="center" wrapText="1"/>
    </xf>
    <xf numFmtId="9" fontId="9" fillId="0" borderId="5" xfId="0" applyNumberFormat="1" applyFont="1" applyBorder="1" applyAlignment="1">
      <alignment vertical="center" wrapText="1"/>
    </xf>
    <xf numFmtId="0" fontId="7" fillId="4" borderId="4" xfId="0" applyFont="1" applyFill="1" applyBorder="1" applyAlignment="1">
      <alignment vertical="center" wrapText="1"/>
    </xf>
    <xf numFmtId="9" fontId="9" fillId="4" borderId="5" xfId="0" applyNumberFormat="1" applyFont="1" applyFill="1" applyBorder="1" applyAlignment="1">
      <alignment vertical="center" wrapText="1"/>
    </xf>
    <xf numFmtId="0" fontId="0" fillId="0" borderId="0" xfId="0" applyAlignment="1">
      <alignment horizontal="center" vertical="center" wrapText="1"/>
    </xf>
    <xf numFmtId="10" fontId="0" fillId="0" borderId="0" xfId="0" applyNumberFormat="1"/>
    <xf numFmtId="0" fontId="0" fillId="0" borderId="1" xfId="0" applyBorder="1"/>
    <xf numFmtId="4" fontId="0" fillId="0" borderId="1" xfId="0" applyNumberFormat="1" applyBorder="1"/>
    <xf numFmtId="10" fontId="0" fillId="0" borderId="1" xfId="0" applyNumberFormat="1" applyBorder="1"/>
    <xf numFmtId="2" fontId="0" fillId="0" borderId="1" xfId="0" applyNumberFormat="1" applyBorder="1"/>
    <xf numFmtId="164" fontId="0" fillId="0" borderId="1" xfId="0" applyNumberFormat="1" applyBorder="1"/>
    <xf numFmtId="0" fontId="1" fillId="0" borderId="0" xfId="0" applyFont="1"/>
    <xf numFmtId="0" fontId="0" fillId="0" borderId="1" xfId="0" applyFill="1" applyBorder="1"/>
    <xf numFmtId="9" fontId="0" fillId="0" borderId="0" xfId="1" applyFont="1"/>
    <xf numFmtId="0" fontId="0" fillId="0" borderId="1" xfId="0" applyBorder="1" applyAlignment="1">
      <alignment wrapText="1"/>
    </xf>
    <xf numFmtId="0" fontId="0" fillId="0" borderId="0" xfId="0" applyBorder="1"/>
    <xf numFmtId="166" fontId="0" fillId="8" borderId="1" xfId="0" applyNumberFormat="1" applyFill="1" applyBorder="1"/>
    <xf numFmtId="167" fontId="0" fillId="8" borderId="1" xfId="0" applyNumberFormat="1" applyFill="1" applyBorder="1"/>
    <xf numFmtId="164" fontId="0" fillId="8" borderId="1" xfId="0" applyNumberFormat="1" applyFill="1" applyBorder="1"/>
    <xf numFmtId="0" fontId="0" fillId="8" borderId="1" xfId="0" applyFill="1" applyBorder="1" applyAlignment="1">
      <alignment horizontal="left" vertical="center"/>
    </xf>
    <xf numFmtId="0" fontId="0" fillId="0" borderId="1" xfId="0" applyBorder="1" applyAlignment="1">
      <alignment horizontal="center" vertical="center"/>
    </xf>
    <xf numFmtId="168" fontId="0" fillId="9" borderId="1" xfId="0" applyNumberFormat="1" applyFill="1" applyBorder="1" applyAlignment="1">
      <alignment horizontal="center" vertical="center"/>
    </xf>
    <xf numFmtId="167" fontId="0" fillId="0" borderId="1" xfId="2" applyNumberFormat="1" applyFont="1" applyBorder="1" applyAlignment="1">
      <alignment horizontal="center" vertical="center"/>
    </xf>
    <xf numFmtId="167" fontId="0" fillId="0" borderId="1" xfId="0" applyNumberFormat="1" applyBorder="1" applyAlignment="1">
      <alignment horizontal="center" vertical="center"/>
    </xf>
    <xf numFmtId="0" fontId="0" fillId="0" borderId="1" xfId="0" applyBorder="1" applyAlignment="1">
      <alignment horizontal="left" vertical="center"/>
    </xf>
    <xf numFmtId="168" fontId="0" fillId="0" borderId="1" xfId="0" applyNumberFormat="1" applyBorder="1" applyAlignment="1">
      <alignment horizontal="center" vertical="center"/>
    </xf>
    <xf numFmtId="164" fontId="0" fillId="8" borderId="1" xfId="0" applyNumberFormat="1" applyFill="1" applyBorder="1" applyAlignment="1">
      <alignment vertical="center"/>
    </xf>
    <xf numFmtId="168" fontId="0" fillId="10" borderId="1" xfId="0" applyNumberFormat="1" applyFill="1" applyBorder="1" applyAlignment="1">
      <alignment horizontal="center" vertical="center"/>
    </xf>
    <xf numFmtId="167" fontId="0" fillId="8" borderId="1" xfId="2" applyNumberFormat="1" applyFont="1" applyFill="1" applyBorder="1" applyAlignment="1">
      <alignment horizontal="center" vertical="center"/>
    </xf>
    <xf numFmtId="167" fontId="0" fillId="8" borderId="1" xfId="0" applyNumberFormat="1" applyFill="1" applyBorder="1" applyAlignment="1">
      <alignment horizontal="center" vertical="center"/>
    </xf>
    <xf numFmtId="167" fontId="0" fillId="10" borderId="1" xfId="2" applyNumberFormat="1" applyFont="1" applyFill="1" applyBorder="1" applyAlignment="1">
      <alignment horizontal="center" vertical="center"/>
    </xf>
    <xf numFmtId="167" fontId="0" fillId="10" borderId="1" xfId="0" applyNumberFormat="1" applyFill="1" applyBorder="1" applyAlignment="1">
      <alignment horizontal="center" vertical="center"/>
    </xf>
    <xf numFmtId="0" fontId="0" fillId="10" borderId="1" xfId="0" applyFill="1" applyBorder="1" applyAlignment="1">
      <alignment horizontal="left" vertical="center"/>
    </xf>
    <xf numFmtId="0" fontId="0" fillId="11" borderId="1" xfId="0" applyFill="1" applyBorder="1" applyAlignment="1">
      <alignment horizontal="center" vertical="center" wrapText="1"/>
    </xf>
    <xf numFmtId="0" fontId="0" fillId="11" borderId="1" xfId="0" applyFill="1" applyBorder="1" applyAlignment="1">
      <alignment horizontal="left" vertical="center" wrapText="1"/>
    </xf>
    <xf numFmtId="9" fontId="0" fillId="8" borderId="1" xfId="1" applyFont="1" applyFill="1" applyBorder="1"/>
    <xf numFmtId="0" fontId="0" fillId="8" borderId="1" xfId="0" applyFill="1" applyBorder="1"/>
    <xf numFmtId="165" fontId="0" fillId="8" borderId="1" xfId="0" applyNumberFormat="1" applyFill="1" applyBorder="1"/>
    <xf numFmtId="0" fontId="0" fillId="0" borderId="1" xfId="0" applyFill="1" applyBorder="1" applyAlignment="1">
      <alignment horizontal="left" vertical="center"/>
    </xf>
    <xf numFmtId="0" fontId="0" fillId="0" borderId="0" xfId="0" applyAlignment="1">
      <alignment wrapText="1"/>
    </xf>
    <xf numFmtId="0" fontId="15" fillId="0" borderId="1" xfId="0" applyFont="1" applyBorder="1" applyAlignment="1">
      <alignment wrapText="1"/>
    </xf>
    <xf numFmtId="0" fontId="15" fillId="9" borderId="1" xfId="0" applyFont="1" applyFill="1" applyBorder="1" applyAlignment="1">
      <alignment wrapText="1"/>
    </xf>
    <xf numFmtId="0" fontId="15" fillId="0" borderId="16" xfId="0" applyFont="1" applyBorder="1" applyAlignment="1">
      <alignment horizontal="center" vertical="center" wrapText="1"/>
    </xf>
    <xf numFmtId="0" fontId="15" fillId="13" borderId="1" xfId="0" applyFont="1" applyFill="1" applyBorder="1" applyAlignment="1">
      <alignment wrapText="1"/>
    </xf>
    <xf numFmtId="0" fontId="14" fillId="0" borderId="0" xfId="0" applyFo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9" fontId="15" fillId="0" borderId="1" xfId="1" applyFont="1" applyBorder="1"/>
    <xf numFmtId="169" fontId="15" fillId="0" borderId="1" xfId="0" applyNumberFormat="1" applyFont="1" applyBorder="1"/>
    <xf numFmtId="3" fontId="15" fillId="0" borderId="1" xfId="0" applyNumberFormat="1" applyFont="1" applyBorder="1"/>
    <xf numFmtId="0" fontId="15" fillId="0" borderId="1" xfId="0" applyFont="1" applyBorder="1"/>
    <xf numFmtId="0" fontId="16" fillId="0" borderId="1" xfId="0" applyFont="1" applyBorder="1"/>
    <xf numFmtId="166" fontId="15" fillId="0" borderId="1" xfId="2" applyFont="1" applyBorder="1" applyAlignment="1"/>
    <xf numFmtId="166" fontId="17" fillId="8" borderId="1" xfId="2" applyFont="1" applyFill="1" applyBorder="1"/>
    <xf numFmtId="0" fontId="17" fillId="8" borderId="1" xfId="0" applyFont="1" applyFill="1" applyBorder="1"/>
    <xf numFmtId="166" fontId="15" fillId="0" borderId="1" xfId="2" applyFont="1" applyBorder="1"/>
    <xf numFmtId="169" fontId="15" fillId="0" borderId="1" xfId="0" applyNumberFormat="1" applyFont="1" applyFill="1" applyBorder="1"/>
    <xf numFmtId="3" fontId="15" fillId="0" borderId="0" xfId="0" applyNumberFormat="1" applyFont="1" applyBorder="1"/>
    <xf numFmtId="169" fontId="17" fillId="8" borderId="1" xfId="0" applyNumberFormat="1" applyFont="1" applyFill="1" applyBorder="1"/>
    <xf numFmtId="9" fontId="15" fillId="0" borderId="0" xfId="1" applyFont="1" applyBorder="1"/>
    <xf numFmtId="169" fontId="14" fillId="8" borderId="0" xfId="0" applyNumberFormat="1" applyFont="1" applyFill="1" applyBorder="1" applyAlignment="1">
      <alignment horizontal="center" wrapText="1"/>
    </xf>
    <xf numFmtId="169" fontId="14" fillId="8" borderId="1" xfId="0" applyNumberFormat="1" applyFont="1" applyFill="1" applyBorder="1" applyAlignment="1">
      <alignment horizontal="center" wrapText="1"/>
    </xf>
    <xf numFmtId="9" fontId="15" fillId="0" borderId="1" xfId="1" applyFont="1" applyFill="1" applyBorder="1" applyAlignment="1">
      <alignment wrapText="1"/>
    </xf>
    <xf numFmtId="167" fontId="15" fillId="0" borderId="1" xfId="2" applyNumberFormat="1" applyFont="1" applyFill="1" applyBorder="1" applyAlignment="1">
      <alignment wrapText="1"/>
    </xf>
    <xf numFmtId="169" fontId="15" fillId="0" borderId="1" xfId="0" applyNumberFormat="1" applyFont="1" applyBorder="1" applyAlignment="1">
      <alignment wrapText="1"/>
    </xf>
    <xf numFmtId="0" fontId="15" fillId="0" borderId="0" xfId="0" applyFont="1" applyBorder="1" applyAlignment="1">
      <alignment wrapText="1"/>
    </xf>
    <xf numFmtId="0" fontId="16" fillId="0" borderId="1" xfId="0" applyFont="1" applyBorder="1" applyAlignment="1">
      <alignment wrapText="1"/>
    </xf>
    <xf numFmtId="0" fontId="16" fillId="0" borderId="0" xfId="0" applyFont="1" applyBorder="1"/>
    <xf numFmtId="0" fontId="15" fillId="0" borderId="0" xfId="0" applyFont="1" applyBorder="1"/>
    <xf numFmtId="169" fontId="15" fillId="0" borderId="0" xfId="0" applyNumberFormat="1" applyFont="1" applyBorder="1"/>
    <xf numFmtId="0" fontId="15" fillId="0" borderId="1" xfId="0" applyFont="1" applyFill="1" applyBorder="1" applyAlignment="1">
      <alignment wrapText="1"/>
    </xf>
    <xf numFmtId="169" fontId="16" fillId="13" borderId="0" xfId="0" applyNumberFormat="1" applyFont="1" applyFill="1" applyBorder="1" applyAlignment="1">
      <alignment wrapText="1"/>
    </xf>
    <xf numFmtId="0" fontId="18" fillId="0" borderId="0" xfId="0" applyFont="1"/>
    <xf numFmtId="0" fontId="19" fillId="0" borderId="0" xfId="0" applyFont="1" applyAlignment="1"/>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20" fillId="0" borderId="13" xfId="0" applyFont="1" applyBorder="1" applyAlignment="1">
      <alignment horizontal="justify" vertical="center" wrapText="1"/>
    </xf>
    <xf numFmtId="9" fontId="20" fillId="0" borderId="13" xfId="0" applyNumberFormat="1" applyFont="1" applyBorder="1" applyAlignment="1">
      <alignment horizontal="justify" vertical="center" wrapText="1"/>
    </xf>
    <xf numFmtId="0" fontId="20" fillId="14" borderId="11" xfId="0" applyFont="1" applyFill="1" applyBorder="1" applyAlignment="1">
      <alignment horizontal="justify" vertical="center" wrapText="1"/>
    </xf>
    <xf numFmtId="9" fontId="20" fillId="14" borderId="13" xfId="0" applyNumberFormat="1" applyFont="1" applyFill="1" applyBorder="1" applyAlignment="1">
      <alignment horizontal="justify" vertical="center" wrapText="1"/>
    </xf>
    <xf numFmtId="9" fontId="20" fillId="0" borderId="15" xfId="0" applyNumberFormat="1" applyFont="1" applyBorder="1" applyAlignment="1">
      <alignment horizontal="justify" vertical="center" wrapText="1"/>
    </xf>
    <xf numFmtId="0" fontId="20" fillId="0" borderId="0" xfId="0" applyFont="1" applyFill="1" applyBorder="1" applyAlignment="1">
      <alignment horizontal="justify" vertical="center" wrapText="1"/>
    </xf>
    <xf numFmtId="9" fontId="20" fillId="0" borderId="0" xfId="0" applyNumberFormat="1" applyFont="1" applyFill="1" applyBorder="1" applyAlignment="1">
      <alignment horizontal="justify" vertical="center" wrapText="1"/>
    </xf>
    <xf numFmtId="0" fontId="0" fillId="0" borderId="0" xfId="0" applyFill="1" applyBorder="1"/>
    <xf numFmtId="0" fontId="20" fillId="0" borderId="1" xfId="0" applyFont="1" applyBorder="1" applyAlignment="1">
      <alignment horizontal="justify" vertical="center" wrapText="1"/>
    </xf>
    <xf numFmtId="0" fontId="20" fillId="0" borderId="12" xfId="0" applyFont="1" applyBorder="1" applyAlignment="1">
      <alignment horizontal="justify" vertical="center" wrapText="1"/>
    </xf>
    <xf numFmtId="9" fontId="20" fillId="0" borderId="14" xfId="0" applyNumberFormat="1" applyFont="1" applyBorder="1" applyAlignment="1">
      <alignment horizontal="justify" vertical="center" wrapText="1"/>
    </xf>
    <xf numFmtId="9" fontId="20" fillId="0" borderId="1" xfId="0" applyNumberFormat="1" applyFont="1" applyBorder="1" applyAlignment="1">
      <alignment horizontal="justify" vertical="center" wrapText="1"/>
    </xf>
    <xf numFmtId="0" fontId="20" fillId="14" borderId="1" xfId="0" applyFont="1" applyFill="1" applyBorder="1" applyAlignment="1">
      <alignment horizontal="justify" vertical="center" wrapText="1"/>
    </xf>
    <xf numFmtId="9" fontId="20" fillId="14" borderId="1" xfId="0" applyNumberFormat="1" applyFont="1" applyFill="1" applyBorder="1" applyAlignment="1">
      <alignment horizontal="justify" vertical="center" wrapText="1"/>
    </xf>
    <xf numFmtId="0" fontId="15" fillId="0" borderId="0" xfId="0" applyFont="1"/>
    <xf numFmtId="9" fontId="21" fillId="0" borderId="13" xfId="0" applyNumberFormat="1" applyFont="1" applyBorder="1" applyAlignment="1">
      <alignment horizontal="justify" vertical="center" wrapText="1"/>
    </xf>
    <xf numFmtId="0" fontId="22" fillId="0" borderId="1" xfId="0" applyFont="1" applyBorder="1"/>
    <xf numFmtId="0" fontId="22" fillId="0" borderId="7" xfId="0" applyFont="1" applyBorder="1"/>
    <xf numFmtId="9" fontId="23" fillId="0" borderId="7" xfId="0" applyNumberFormat="1" applyFont="1" applyBorder="1" applyAlignment="1">
      <alignment horizontal="justify" vertical="center" wrapText="1"/>
    </xf>
    <xf numFmtId="9" fontId="22" fillId="0" borderId="1" xfId="1" applyFont="1" applyBorder="1"/>
    <xf numFmtId="9" fontId="23" fillId="0" borderId="15" xfId="0" applyNumberFormat="1" applyFont="1" applyBorder="1" applyAlignment="1">
      <alignment horizontal="justify" vertical="center" wrapText="1"/>
    </xf>
    <xf numFmtId="0" fontId="1" fillId="0" borderId="6" xfId="0" applyFont="1" applyBorder="1" applyAlignment="1">
      <alignment horizontal="center"/>
    </xf>
    <xf numFmtId="0" fontId="1" fillId="0" borderId="6" xfId="0" applyFont="1" applyBorder="1"/>
    <xf numFmtId="0" fontId="0" fillId="0" borderId="1" xfId="0" applyBorder="1" applyAlignment="1">
      <alignment horizontal="center" vertical="center"/>
    </xf>
    <xf numFmtId="0" fontId="0" fillId="0" borderId="0" xfId="0" applyAlignment="1">
      <alignment horizontal="center" vertical="center"/>
    </xf>
    <xf numFmtId="0" fontId="1" fillId="0" borderId="1" xfId="0" applyFont="1" applyBorder="1"/>
    <xf numFmtId="0" fontId="16" fillId="0" borderId="6" xfId="0" applyFont="1" applyBorder="1" applyAlignment="1">
      <alignment horizontal="center"/>
    </xf>
    <xf numFmtId="1" fontId="16" fillId="0" borderId="1" xfId="0" applyNumberFormat="1" applyFont="1" applyBorder="1" applyAlignment="1">
      <alignment horizontal="right" vertical="center"/>
    </xf>
    <xf numFmtId="1" fontId="0" fillId="0" borderId="0" xfId="0" applyNumberFormat="1"/>
    <xf numFmtId="1" fontId="15" fillId="0" borderId="1" xfId="0" applyNumberFormat="1" applyFont="1" applyBorder="1"/>
    <xf numFmtId="1" fontId="14" fillId="0" borderId="0" xfId="0" applyNumberFormat="1" applyFont="1" applyBorder="1"/>
    <xf numFmtId="167" fontId="15" fillId="0" borderId="1" xfId="0" applyNumberFormat="1" applyFont="1" applyBorder="1"/>
    <xf numFmtId="3" fontId="15" fillId="0" borderId="1" xfId="0" applyNumberFormat="1" applyFont="1" applyBorder="1" applyAlignment="1">
      <alignment wrapText="1"/>
    </xf>
    <xf numFmtId="9" fontId="15" fillId="0" borderId="1" xfId="1" applyFont="1" applyBorder="1" applyAlignment="1">
      <alignment wrapText="1"/>
    </xf>
    <xf numFmtId="0" fontId="0" fillId="0" borderId="0" xfId="0" applyAlignment="1">
      <alignment vertical="center"/>
    </xf>
    <xf numFmtId="0" fontId="24" fillId="0" borderId="1" xfId="0" applyFont="1" applyBorder="1" applyAlignment="1">
      <alignment horizontal="center" vertical="center"/>
    </xf>
    <xf numFmtId="0" fontId="0" fillId="0" borderId="1" xfId="0" applyBorder="1" applyAlignment="1">
      <alignment vertical="center"/>
    </xf>
    <xf numFmtId="0" fontId="0" fillId="9" borderId="1" xfId="0" applyFill="1" applyBorder="1" applyAlignment="1">
      <alignment wrapText="1"/>
    </xf>
    <xf numFmtId="0" fontId="0" fillId="9" borderId="1" xfId="3" applyNumberFormat="1" applyFont="1" applyFill="1" applyBorder="1" applyAlignment="1">
      <alignment horizontal="center" vertical="center"/>
    </xf>
    <xf numFmtId="0" fontId="0" fillId="0" borderId="1" xfId="3" applyNumberFormat="1" applyFont="1" applyFill="1" applyBorder="1" applyAlignment="1">
      <alignment horizontal="center" vertical="center"/>
    </xf>
    <xf numFmtId="9" fontId="0" fillId="15" borderId="1" xfId="0" applyNumberFormat="1" applyFill="1" applyBorder="1"/>
    <xf numFmtId="9" fontId="24" fillId="0" borderId="1" xfId="0" applyNumberFormat="1" applyFont="1" applyBorder="1" applyAlignment="1">
      <alignment horizontal="center" vertical="center"/>
    </xf>
    <xf numFmtId="171" fontId="12" fillId="15" borderId="1" xfId="3" applyNumberFormat="1" applyFont="1" applyFill="1" applyBorder="1" applyAlignment="1">
      <alignment vertical="center"/>
    </xf>
    <xf numFmtId="0" fontId="13" fillId="0" borderId="1" xfId="0" applyFont="1" applyBorder="1" applyAlignment="1">
      <alignment vertical="center"/>
    </xf>
    <xf numFmtId="171" fontId="13" fillId="0" borderId="1" xfId="3" applyNumberFormat="1" applyFont="1" applyFill="1" applyBorder="1" applyAlignment="1">
      <alignment vertical="center"/>
    </xf>
    <xf numFmtId="9" fontId="13" fillId="15" borderId="1" xfId="1" applyFont="1" applyFill="1" applyBorder="1" applyAlignment="1">
      <alignment vertical="center"/>
    </xf>
    <xf numFmtId="0" fontId="0" fillId="0" borderId="1" xfId="0" applyBorder="1" applyAlignment="1">
      <alignment vertical="center" wrapText="1"/>
    </xf>
    <xf numFmtId="2" fontId="1" fillId="0" borderId="1" xfId="0" applyNumberFormat="1" applyFont="1" applyBorder="1" applyAlignment="1">
      <alignment horizontal="center" vertical="center"/>
    </xf>
    <xf numFmtId="0" fontId="0" fillId="0" borderId="0" xfId="0" applyBorder="1" applyAlignment="1">
      <alignment vertical="center"/>
    </xf>
    <xf numFmtId="9" fontId="24" fillId="0" borderId="0" xfId="0" applyNumberFormat="1" applyFont="1" applyBorder="1" applyAlignment="1">
      <alignment horizontal="center"/>
    </xf>
    <xf numFmtId="0" fontId="24" fillId="0" borderId="0" xfId="0" applyFont="1" applyBorder="1" applyAlignment="1">
      <alignment horizontal="center"/>
    </xf>
    <xf numFmtId="0" fontId="1" fillId="0" borderId="1" xfId="0" applyFont="1" applyBorder="1" applyAlignment="1">
      <alignment vertical="center" wrapText="1"/>
    </xf>
    <xf numFmtId="0" fontId="24" fillId="0" borderId="1" xfId="0" applyFont="1" applyBorder="1" applyAlignment="1">
      <alignment horizontal="center" vertical="center" wrapText="1"/>
    </xf>
    <xf numFmtId="0" fontId="0" fillId="16" borderId="1" xfId="0" applyFill="1" applyBorder="1" applyAlignment="1">
      <alignment vertical="center"/>
    </xf>
    <xf numFmtId="0" fontId="1" fillId="16" borderId="1" xfId="0" applyFont="1" applyFill="1" applyBorder="1" applyAlignment="1">
      <alignment horizontal="center" vertical="center"/>
    </xf>
    <xf numFmtId="0" fontId="1" fillId="16" borderId="1" xfId="0" applyFont="1" applyFill="1" applyBorder="1" applyAlignment="1">
      <alignment vertical="center"/>
    </xf>
    <xf numFmtId="0" fontId="0" fillId="16" borderId="1" xfId="0" applyFill="1" applyBorder="1" applyAlignment="1">
      <alignment horizontal="center" vertical="center"/>
    </xf>
    <xf numFmtId="2" fontId="1" fillId="16" borderId="1" xfId="0" applyNumberFormat="1" applyFont="1" applyFill="1" applyBorder="1" applyAlignment="1">
      <alignment horizontal="center" vertical="center"/>
    </xf>
    <xf numFmtId="164" fontId="0" fillId="16" borderId="1" xfId="0" applyNumberFormat="1" applyFill="1" applyBorder="1" applyAlignment="1">
      <alignment vertical="center"/>
    </xf>
    <xf numFmtId="0" fontId="0" fillId="17" borderId="1" xfId="0" applyFill="1" applyBorder="1" applyAlignment="1">
      <alignment vertical="center" wrapText="1"/>
    </xf>
    <xf numFmtId="171" fontId="0" fillId="17" borderId="1" xfId="3" applyNumberFormat="1" applyFont="1" applyFill="1" applyBorder="1" applyAlignment="1">
      <alignment vertical="center"/>
    </xf>
    <xf numFmtId="0" fontId="0" fillId="11" borderId="7" xfId="0" applyFill="1" applyBorder="1" applyAlignment="1">
      <alignment horizontal="center" vertical="center" wrapText="1"/>
    </xf>
    <xf numFmtId="164" fontId="0" fillId="8" borderId="7" xfId="0" applyNumberFormat="1" applyFill="1" applyBorder="1"/>
    <xf numFmtId="165" fontId="0" fillId="8" borderId="7" xfId="0" applyNumberFormat="1" applyFill="1" applyBorder="1"/>
    <xf numFmtId="168" fontId="0" fillId="9" borderId="0" xfId="0" applyNumberFormat="1" applyFill="1" applyBorder="1" applyAlignment="1">
      <alignment horizontal="center" vertical="center"/>
    </xf>
    <xf numFmtId="0" fontId="0" fillId="9" borderId="0" xfId="0" applyFill="1" applyBorder="1"/>
    <xf numFmtId="0" fontId="0" fillId="9" borderId="0" xfId="0" applyFill="1" applyBorder="1" applyAlignment="1">
      <alignment horizontal="center" vertical="center" wrapText="1"/>
    </xf>
    <xf numFmtId="0" fontId="0" fillId="9" borderId="0" xfId="0" applyFill="1" applyBorder="1" applyAlignment="1">
      <alignment wrapText="1"/>
    </xf>
    <xf numFmtId="167" fontId="0" fillId="9" borderId="0" xfId="2" applyNumberFormat="1" applyFont="1" applyFill="1" applyBorder="1" applyAlignment="1">
      <alignment horizontal="center" vertical="center"/>
    </xf>
    <xf numFmtId="164" fontId="0" fillId="9" borderId="0" xfId="0" applyNumberFormat="1" applyFill="1" applyBorder="1"/>
    <xf numFmtId="0" fontId="0" fillId="9" borderId="0" xfId="0" applyFill="1" applyBorder="1" applyAlignment="1">
      <alignment horizontal="center" vertical="center"/>
    </xf>
    <xf numFmtId="164" fontId="0" fillId="9" borderId="0" xfId="0" applyNumberFormat="1" applyFill="1" applyBorder="1" applyAlignment="1">
      <alignment vertical="center"/>
    </xf>
    <xf numFmtId="167" fontId="0" fillId="9" borderId="0" xfId="0" applyNumberFormat="1" applyFill="1" applyBorder="1"/>
    <xf numFmtId="168" fontId="0" fillId="9" borderId="0" xfId="0" applyNumberFormat="1" applyFill="1" applyBorder="1"/>
    <xf numFmtId="166" fontId="0" fillId="9" borderId="0" xfId="0" applyNumberFormat="1" applyFill="1" applyBorder="1"/>
    <xf numFmtId="165" fontId="0" fillId="9" borderId="0" xfId="0" applyNumberFormat="1" applyFill="1" applyBorder="1"/>
    <xf numFmtId="9" fontId="0" fillId="9" borderId="0" xfId="1" applyFont="1" applyFill="1" applyBorder="1"/>
    <xf numFmtId="9" fontId="0" fillId="9" borderId="0" xfId="0" applyNumberFormat="1" applyFill="1" applyBorder="1"/>
    <xf numFmtId="164" fontId="0" fillId="0" borderId="7" xfId="2" applyNumberFormat="1" applyFont="1" applyBorder="1" applyAlignment="1">
      <alignment horizontal="center" vertical="center"/>
    </xf>
    <xf numFmtId="0" fontId="0" fillId="12" borderId="1" xfId="0" applyFill="1" applyBorder="1" applyAlignment="1">
      <alignment horizontal="left" vertical="center" wrapText="1"/>
    </xf>
    <xf numFmtId="0" fontId="0" fillId="15" borderId="1" xfId="0" applyFill="1" applyBorder="1"/>
    <xf numFmtId="0" fontId="0" fillId="0" borderId="1" xfId="0" applyFill="1" applyBorder="1" applyAlignment="1">
      <alignment horizontal="center" vertical="center"/>
    </xf>
    <xf numFmtId="0" fontId="0" fillId="0" borderId="1" xfId="0" applyFill="1" applyBorder="1" applyAlignment="1">
      <alignment vertical="center"/>
    </xf>
    <xf numFmtId="171" fontId="12" fillId="0" borderId="1" xfId="3" applyNumberFormat="1" applyFont="1" applyFill="1" applyBorder="1" applyAlignment="1">
      <alignment vertical="center"/>
    </xf>
    <xf numFmtId="170" fontId="0" fillId="0" borderId="1" xfId="0" applyNumberFormat="1" applyFill="1" applyBorder="1" applyAlignment="1">
      <alignment vertical="center"/>
    </xf>
    <xf numFmtId="172" fontId="0" fillId="0" borderId="1" xfId="0" applyNumberFormat="1" applyFill="1" applyBorder="1" applyAlignment="1">
      <alignment vertical="center"/>
    </xf>
    <xf numFmtId="0" fontId="0" fillId="0" borderId="1" xfId="0" applyFill="1" applyBorder="1" applyAlignment="1">
      <alignment vertical="center" wrapText="1"/>
    </xf>
    <xf numFmtId="0" fontId="0" fillId="0" borderId="26" xfId="0" applyBorder="1"/>
    <xf numFmtId="0" fontId="0" fillId="0" borderId="1" xfId="0" applyBorder="1" applyAlignment="1">
      <alignment vertical="top" wrapText="1"/>
    </xf>
    <xf numFmtId="0" fontId="0" fillId="0" borderId="1" xfId="0" applyFill="1" applyBorder="1" applyAlignment="1">
      <alignment vertical="top" wrapText="1"/>
    </xf>
    <xf numFmtId="0" fontId="0" fillId="0" borderId="28" xfId="0" applyBorder="1" applyAlignment="1">
      <alignment vertical="top" wrapText="1"/>
    </xf>
    <xf numFmtId="0" fontId="0" fillId="0" borderId="26" xfId="0" applyBorder="1" applyAlignment="1">
      <alignment vertical="top" wrapText="1"/>
    </xf>
    <xf numFmtId="0" fontId="0" fillId="0" borderId="26" xfId="0" applyBorder="1" applyAlignment="1">
      <alignment vertical="top"/>
    </xf>
    <xf numFmtId="0" fontId="0" fillId="0" borderId="29" xfId="0" applyBorder="1" applyAlignment="1">
      <alignment vertical="top" wrapText="1"/>
    </xf>
    <xf numFmtId="0" fontId="25" fillId="0" borderId="26" xfId="4"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6" xfId="0" quotePrefix="1" applyBorder="1" applyAlignment="1">
      <alignment vertical="top"/>
    </xf>
    <xf numFmtId="0" fontId="0" fillId="0" borderId="26" xfId="0" quotePrefix="1" applyBorder="1" applyAlignment="1">
      <alignment vertical="top" wrapText="1"/>
    </xf>
    <xf numFmtId="0" fontId="0" fillId="0" borderId="1" xfId="0" applyNumberFormat="1" applyBorder="1" applyAlignment="1">
      <alignment vertical="top" wrapText="1"/>
    </xf>
    <xf numFmtId="0" fontId="0" fillId="0" borderId="26" xfId="0" applyNumberFormat="1" applyBorder="1" applyAlignment="1">
      <alignment vertical="top" wrapText="1"/>
    </xf>
    <xf numFmtId="0" fontId="0" fillId="0" borderId="29" xfId="0" applyNumberFormat="1" applyBorder="1" applyAlignment="1">
      <alignment vertical="top" wrapText="1"/>
    </xf>
    <xf numFmtId="9" fontId="0" fillId="0" borderId="1" xfId="0" applyNumberFormat="1" applyFill="1" applyBorder="1" applyAlignment="1">
      <alignment vertical="top" wrapText="1"/>
    </xf>
    <xf numFmtId="0" fontId="1" fillId="21" borderId="35" xfId="0" applyFont="1" applyFill="1" applyBorder="1" applyAlignment="1">
      <alignment horizontal="center" vertical="center" wrapText="1"/>
    </xf>
    <xf numFmtId="0" fontId="1" fillId="21" borderId="36" xfId="0" applyFont="1" applyFill="1" applyBorder="1" applyAlignment="1">
      <alignment horizontal="center" vertical="center" wrapText="1"/>
    </xf>
    <xf numFmtId="0" fontId="1" fillId="21" borderId="37" xfId="0" applyFont="1" applyFill="1" applyBorder="1" applyAlignment="1">
      <alignment horizontal="center" vertical="center" wrapText="1"/>
    </xf>
    <xf numFmtId="2" fontId="1" fillId="19" borderId="1" xfId="0" applyNumberFormat="1" applyFont="1" applyFill="1" applyBorder="1" applyAlignment="1">
      <alignment vertical="top" wrapText="1"/>
    </xf>
    <xf numFmtId="0" fontId="0" fillId="22" borderId="0" xfId="0" applyFill="1" applyBorder="1"/>
    <xf numFmtId="10" fontId="0" fillId="0" borderId="1" xfId="1" applyNumberFormat="1" applyFont="1" applyBorder="1" applyAlignment="1">
      <alignment vertical="top" wrapText="1"/>
    </xf>
    <xf numFmtId="1" fontId="0" fillId="0" borderId="23" xfId="5" applyNumberFormat="1" applyFont="1" applyBorder="1" applyAlignment="1">
      <alignment vertical="top" wrapText="1"/>
    </xf>
    <xf numFmtId="0" fontId="0" fillId="0" borderId="24" xfId="0" applyNumberFormat="1" applyBorder="1" applyAlignment="1">
      <alignment vertical="top" wrapText="1"/>
    </xf>
    <xf numFmtId="10" fontId="1" fillId="19" borderId="28" xfId="0" applyNumberFormat="1" applyFont="1" applyFill="1" applyBorder="1" applyAlignment="1">
      <alignment vertical="top" wrapText="1"/>
    </xf>
    <xf numFmtId="0" fontId="0" fillId="0" borderId="23" xfId="0" applyNumberFormat="1" applyBorder="1" applyAlignment="1">
      <alignment vertical="top" wrapText="1"/>
    </xf>
    <xf numFmtId="0" fontId="0" fillId="3" borderId="22" xfId="0" applyNumberFormat="1" applyFill="1" applyBorder="1" applyAlignment="1">
      <alignment vertical="top" wrapText="1"/>
    </xf>
    <xf numFmtId="0" fontId="0" fillId="3" borderId="25" xfId="0" applyNumberFormat="1" applyFill="1" applyBorder="1" applyAlignment="1">
      <alignment vertical="top" wrapText="1"/>
    </xf>
    <xf numFmtId="0" fontId="1" fillId="5" borderId="25" xfId="0" applyNumberFormat="1" applyFont="1" applyFill="1" applyBorder="1" applyAlignment="1">
      <alignment vertical="top" wrapText="1"/>
    </xf>
    <xf numFmtId="0" fontId="1" fillId="5" borderId="27" xfId="0" applyNumberFormat="1" applyFont="1" applyFill="1" applyBorder="1" applyAlignment="1">
      <alignment vertical="top" wrapText="1"/>
    </xf>
    <xf numFmtId="0" fontId="0" fillId="3" borderId="22" xfId="0" applyFill="1" applyBorder="1" applyAlignment="1">
      <alignment vertical="top" wrapText="1"/>
    </xf>
    <xf numFmtId="0" fontId="0" fillId="3" borderId="25" xfId="0" applyFill="1" applyBorder="1" applyAlignment="1">
      <alignment vertical="top" wrapText="1"/>
    </xf>
    <xf numFmtId="0" fontId="0" fillId="3" borderId="27" xfId="0" applyFill="1" applyBorder="1" applyAlignment="1">
      <alignment vertical="top" wrapText="1"/>
    </xf>
    <xf numFmtId="0" fontId="0" fillId="3" borderId="25" xfId="0" applyFill="1" applyBorder="1"/>
    <xf numFmtId="10" fontId="0" fillId="0" borderId="26" xfId="0" applyNumberFormat="1" applyBorder="1"/>
    <xf numFmtId="0" fontId="1" fillId="5" borderId="27" xfId="0" applyFont="1" applyFill="1" applyBorder="1"/>
    <xf numFmtId="4" fontId="1" fillId="0" borderId="28" xfId="0" applyNumberFormat="1" applyFont="1" applyBorder="1"/>
    <xf numFmtId="10" fontId="1" fillId="0" borderId="29" xfId="0" applyNumberFormat="1" applyFont="1" applyBorder="1"/>
    <xf numFmtId="0" fontId="0" fillId="3" borderId="30" xfId="0" applyFill="1" applyBorder="1"/>
    <xf numFmtId="4" fontId="0" fillId="0" borderId="16" xfId="0" applyNumberFormat="1" applyBorder="1"/>
    <xf numFmtId="10" fontId="0" fillId="0" borderId="31" xfId="0" applyNumberFormat="1" applyBorder="1"/>
    <xf numFmtId="0" fontId="1" fillId="21" borderId="32" xfId="0" applyFont="1" applyFill="1" applyBorder="1" applyAlignment="1">
      <alignment horizontal="center" vertical="center" wrapText="1"/>
    </xf>
    <xf numFmtId="0" fontId="1" fillId="21" borderId="33" xfId="0" applyFont="1" applyFill="1" applyBorder="1" applyAlignment="1">
      <alignment horizontal="center" wrapText="1"/>
    </xf>
    <xf numFmtId="0" fontId="1" fillId="21" borderId="34" xfId="0" applyFont="1" applyFill="1" applyBorder="1" applyAlignment="1">
      <alignment horizontal="center" vertical="center" wrapText="1"/>
    </xf>
    <xf numFmtId="0" fontId="0" fillId="5" borderId="25" xfId="0" applyFill="1" applyBorder="1" applyAlignment="1">
      <alignment wrapText="1"/>
    </xf>
    <xf numFmtId="0" fontId="0" fillId="3" borderId="25" xfId="0" applyFill="1" applyBorder="1" applyAlignment="1">
      <alignment wrapText="1"/>
    </xf>
    <xf numFmtId="0" fontId="0" fillId="3" borderId="27" xfId="0" applyFill="1" applyBorder="1" applyAlignment="1">
      <alignment wrapText="1"/>
    </xf>
    <xf numFmtId="0" fontId="0" fillId="0" borderId="28" xfId="0" applyBorder="1"/>
    <xf numFmtId="0" fontId="0" fillId="0" borderId="29" xfId="0" applyBorder="1"/>
    <xf numFmtId="0" fontId="0" fillId="5" borderId="30" xfId="0" applyFill="1" applyBorder="1" applyAlignment="1">
      <alignment wrapText="1"/>
    </xf>
    <xf numFmtId="0" fontId="0" fillId="0" borderId="16" xfId="0" applyBorder="1"/>
    <xf numFmtId="0" fontId="0" fillId="0" borderId="31" xfId="0" applyBorder="1"/>
    <xf numFmtId="0" fontId="1" fillId="21" borderId="33" xfId="0" applyFont="1" applyFill="1" applyBorder="1" applyAlignment="1">
      <alignment horizontal="center" vertical="center" wrapText="1"/>
    </xf>
    <xf numFmtId="2" fontId="0" fillId="0" borderId="16" xfId="0" applyNumberFormat="1" applyBorder="1"/>
    <xf numFmtId="10" fontId="0" fillId="0" borderId="16" xfId="0" applyNumberFormat="1" applyBorder="1"/>
    <xf numFmtId="0" fontId="1" fillId="21" borderId="32" xfId="0" applyFont="1" applyFill="1" applyBorder="1" applyAlignment="1">
      <alignment horizontal="center" vertical="center"/>
    </xf>
    <xf numFmtId="2" fontId="0" fillId="0" borderId="31" xfId="0" applyNumberFormat="1" applyBorder="1"/>
    <xf numFmtId="2" fontId="0" fillId="0" borderId="26" xfId="0" applyNumberFormat="1" applyBorder="1"/>
    <xf numFmtId="2" fontId="1" fillId="0" borderId="28" xfId="0" applyNumberFormat="1" applyFont="1" applyBorder="1"/>
    <xf numFmtId="10" fontId="1" fillId="0" borderId="28" xfId="0" applyNumberFormat="1" applyFont="1" applyBorder="1"/>
    <xf numFmtId="2" fontId="1" fillId="19" borderId="29" xfId="0" applyNumberFormat="1" applyFont="1" applyFill="1" applyBorder="1"/>
    <xf numFmtId="0" fontId="0" fillId="5" borderId="22" xfId="0" applyFill="1" applyBorder="1" applyAlignment="1">
      <alignment wrapText="1"/>
    </xf>
    <xf numFmtId="0" fontId="0" fillId="0" borderId="23" xfId="0" applyBorder="1"/>
    <xf numFmtId="0" fontId="0" fillId="0" borderId="24" xfId="0" applyBorder="1"/>
    <xf numFmtId="0" fontId="0" fillId="3" borderId="38" xfId="0" applyFill="1" applyBorder="1" applyAlignment="1">
      <alignment vertical="top" wrapText="1"/>
    </xf>
    <xf numFmtId="10" fontId="0" fillId="0" borderId="39" xfId="0" applyNumberFormat="1" applyFill="1" applyBorder="1" applyAlignment="1">
      <alignment vertical="top"/>
    </xf>
    <xf numFmtId="0" fontId="1" fillId="23" borderId="32" xfId="0" applyFont="1" applyFill="1" applyBorder="1" applyAlignment="1">
      <alignment wrapText="1"/>
    </xf>
    <xf numFmtId="9" fontId="1" fillId="19" borderId="34" xfId="1" applyFont="1" applyFill="1" applyBorder="1"/>
    <xf numFmtId="0" fontId="29" fillId="22" borderId="0" xfId="0" applyFont="1" applyFill="1" applyBorder="1" applyAlignment="1">
      <alignment horizontal="center" vertical="center"/>
    </xf>
    <xf numFmtId="0" fontId="0" fillId="7" borderId="20" xfId="0" applyFill="1" applyBorder="1" applyAlignment="1">
      <alignment horizontal="left" vertical="top" wrapText="1"/>
    </xf>
    <xf numFmtId="0" fontId="0" fillId="7" borderId="21" xfId="0" applyFill="1" applyBorder="1" applyAlignment="1">
      <alignment horizontal="left" vertical="top" wrapText="1"/>
    </xf>
    <xf numFmtId="0" fontId="0" fillId="7" borderId="10" xfId="0" applyFill="1" applyBorder="1" applyAlignment="1">
      <alignment horizontal="left" vertical="top" wrapText="1"/>
    </xf>
    <xf numFmtId="0" fontId="1" fillId="20" borderId="20" xfId="0" applyFont="1" applyFill="1" applyBorder="1" applyAlignment="1">
      <alignment horizontal="center"/>
    </xf>
    <xf numFmtId="0" fontId="1" fillId="20" borderId="21" xfId="0" applyFont="1" applyFill="1" applyBorder="1" applyAlignment="1">
      <alignment horizontal="center"/>
    </xf>
    <xf numFmtId="0" fontId="1" fillId="20" borderId="10" xfId="0" applyFont="1" applyFill="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10" xfId="0" applyFont="1" applyBorder="1" applyAlignment="1">
      <alignment horizontal="center"/>
    </xf>
    <xf numFmtId="0" fontId="0" fillId="0" borderId="39" xfId="0" applyFill="1" applyBorder="1" applyAlignment="1">
      <alignment vertical="top" wrapText="1"/>
    </xf>
    <xf numFmtId="0" fontId="13" fillId="0" borderId="39" xfId="0" applyFont="1" applyFill="1" applyBorder="1" applyAlignment="1">
      <alignment vertical="top" wrapText="1"/>
    </xf>
    <xf numFmtId="0" fontId="13" fillId="0" borderId="40" xfId="0" applyFont="1" applyFill="1" applyBorder="1" applyAlignment="1">
      <alignment vertical="top" wrapText="1"/>
    </xf>
    <xf numFmtId="0" fontId="1" fillId="20" borderId="32" xfId="0" applyFont="1" applyFill="1" applyBorder="1" applyAlignment="1">
      <alignment horizontal="center"/>
    </xf>
    <xf numFmtId="0" fontId="1" fillId="20" borderId="33" xfId="0" applyFont="1" applyFill="1" applyBorder="1" applyAlignment="1">
      <alignment horizontal="center"/>
    </xf>
    <xf numFmtId="0" fontId="1" fillId="20" borderId="34" xfId="0" applyFont="1" applyFill="1" applyBorder="1" applyAlignment="1">
      <alignment horizontal="center"/>
    </xf>
    <xf numFmtId="0" fontId="1" fillId="20" borderId="20" xfId="0" applyFont="1" applyFill="1" applyBorder="1" applyAlignment="1">
      <alignment horizontal="center" vertical="center" wrapText="1"/>
    </xf>
    <xf numFmtId="0" fontId="1" fillId="20" borderId="21" xfId="0" applyFont="1" applyFill="1" applyBorder="1" applyAlignment="1">
      <alignment horizontal="center" vertical="center" wrapText="1"/>
    </xf>
    <xf numFmtId="0" fontId="1" fillId="20" borderId="10" xfId="0" applyFont="1" applyFill="1" applyBorder="1" applyAlignment="1">
      <alignment horizontal="center" vertical="center" wrapText="1"/>
    </xf>
    <xf numFmtId="0" fontId="1" fillId="20" borderId="35" xfId="0" applyFont="1" applyFill="1" applyBorder="1" applyAlignment="1">
      <alignment horizontal="center"/>
    </xf>
    <xf numFmtId="0" fontId="1" fillId="20" borderId="36" xfId="0" applyFont="1" applyFill="1" applyBorder="1" applyAlignment="1">
      <alignment horizontal="center"/>
    </xf>
    <xf numFmtId="0" fontId="1" fillId="20" borderId="37" xfId="0" applyFont="1" applyFill="1" applyBorder="1" applyAlignment="1">
      <alignment horizontal="center"/>
    </xf>
    <xf numFmtId="0" fontId="1" fillId="21" borderId="25" xfId="0" applyNumberFormat="1" applyFont="1" applyFill="1" applyBorder="1" applyAlignment="1">
      <alignment horizontal="center" vertical="top" wrapText="1"/>
    </xf>
    <xf numFmtId="0" fontId="1" fillId="21" borderId="1" xfId="0" applyNumberFormat="1" applyFont="1" applyFill="1" applyBorder="1" applyAlignment="1">
      <alignment horizontal="center" vertical="top" wrapText="1"/>
    </xf>
    <xf numFmtId="0" fontId="1" fillId="21" borderId="26" xfId="0" applyNumberFormat="1" applyFont="1" applyFill="1" applyBorder="1" applyAlignment="1">
      <alignment horizontal="center" vertical="top" wrapText="1"/>
    </xf>
    <xf numFmtId="0" fontId="0" fillId="13" borderId="1" xfId="0" applyFill="1" applyBorder="1" applyAlignment="1">
      <alignment wrapText="1"/>
    </xf>
    <xf numFmtId="0" fontId="15" fillId="0" borderId="1" xfId="0" applyFont="1" applyBorder="1" applyAlignment="1">
      <alignment horizontal="center" vertical="center"/>
    </xf>
    <xf numFmtId="1" fontId="16" fillId="0" borderId="6" xfId="0" applyNumberFormat="1" applyFont="1" applyBorder="1" applyAlignment="1">
      <alignment horizontal="right" vertical="center"/>
    </xf>
    <xf numFmtId="1" fontId="16" fillId="0" borderId="19" xfId="0" applyNumberFormat="1" applyFont="1" applyBorder="1" applyAlignment="1">
      <alignment horizontal="right" vertical="center"/>
    </xf>
    <xf numFmtId="1" fontId="16" fillId="0" borderId="16" xfId="0" applyNumberFormat="1" applyFont="1" applyBorder="1" applyAlignment="1">
      <alignment horizontal="right" vertical="center"/>
    </xf>
    <xf numFmtId="0" fontId="0" fillId="0" borderId="1" xfId="0" applyBorder="1" applyAlignment="1">
      <alignment horizontal="center" vertical="center"/>
    </xf>
    <xf numFmtId="0" fontId="0" fillId="13" borderId="1" xfId="0" applyFill="1" applyBorder="1"/>
    <xf numFmtId="0" fontId="20" fillId="13" borderId="18" xfId="0" applyFont="1" applyFill="1" applyBorder="1" applyAlignment="1">
      <alignment horizontal="justify" vertical="center"/>
    </xf>
    <xf numFmtId="0" fontId="20" fillId="13" borderId="0" xfId="0" applyFont="1" applyFill="1" applyBorder="1" applyAlignment="1">
      <alignment horizontal="justify" vertical="center"/>
    </xf>
    <xf numFmtId="0" fontId="0" fillId="18" borderId="18" xfId="0" applyFill="1" applyBorder="1" applyAlignment="1">
      <alignment vertical="center" wrapText="1"/>
    </xf>
    <xf numFmtId="0" fontId="0" fillId="18" borderId="0" xfId="0" applyFill="1" applyBorder="1" applyAlignment="1">
      <alignment vertical="center" wrapText="1"/>
    </xf>
    <xf numFmtId="0" fontId="0" fillId="9" borderId="0" xfId="0" applyFill="1" applyBorder="1" applyAlignment="1">
      <alignment horizontal="center"/>
    </xf>
    <xf numFmtId="169" fontId="14" fillId="8" borderId="7" xfId="0" applyNumberFormat="1" applyFont="1" applyFill="1" applyBorder="1" applyAlignment="1">
      <alignment horizontal="center" wrapText="1"/>
    </xf>
    <xf numFmtId="169" fontId="14" fillId="8" borderId="8" xfId="0" applyNumberFormat="1" applyFont="1" applyFill="1" applyBorder="1" applyAlignment="1">
      <alignment horizontal="center" wrapText="1"/>
    </xf>
    <xf numFmtId="0" fontId="15" fillId="0" borderId="6"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8" xfId="0" applyFont="1" applyBorder="1" applyAlignment="1">
      <alignment horizontal="center" vertical="center" wrapText="1"/>
    </xf>
    <xf numFmtId="0" fontId="0" fillId="6" borderId="1" xfId="0" applyFill="1" applyBorder="1" applyAlignment="1">
      <alignment wrapText="1"/>
    </xf>
    <xf numFmtId="0" fontId="0" fillId="6" borderId="1" xfId="0" applyFill="1" applyBorder="1"/>
    <xf numFmtId="0" fontId="0" fillId="0" borderId="1" xfId="0" applyBorder="1" applyAlignment="1">
      <alignment horizontal="center"/>
    </xf>
    <xf numFmtId="0" fontId="0" fillId="0" borderId="7" xfId="0" applyBorder="1" applyAlignment="1">
      <alignment horizontal="center"/>
    </xf>
  </cellXfs>
  <cellStyles count="6">
    <cellStyle name="Lien hypertexte" xfId="4" builtinId="8"/>
    <cellStyle name="Milliers" xfId="5" builtinId="3"/>
    <cellStyle name="Milliers 2" xfId="2"/>
    <cellStyle name="Milliers 3" xfId="3"/>
    <cellStyle name="Normal" xfId="0" builtinId="0"/>
    <cellStyle name="Pourcentage" xfId="1" builtinId="5"/>
  </cellStyles>
  <dxfs count="0"/>
  <tableStyles count="0" defaultTableStyle="TableStyleMedium2" defaultPivotStyle="PivotStyleMedium9"/>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Utilisation des b&#226;timents'!A1"/><Relationship Id="rId2" Type="http://schemas.openxmlformats.org/officeDocument/2006/relationships/hyperlink" Target="#'Lisez-moi !'!A1"/><Relationship Id="rId1" Type="http://schemas.openxmlformats.org/officeDocument/2006/relationships/hyperlink" Target="#'Portail de t&#233;l&#233;portation'!A1"/><Relationship Id="rId6" Type="http://schemas.openxmlformats.org/officeDocument/2006/relationships/hyperlink" Target="#'Emissions parc automobile'!A1"/><Relationship Id="rId5" Type="http://schemas.openxmlformats.org/officeDocument/2006/relationships/hyperlink" Target="#'Domicile-travail'!A1"/><Relationship Id="rId4" Type="http://schemas.openxmlformats.org/officeDocument/2006/relationships/hyperlink" Target="#Alimentation!A1"/></Relationships>
</file>

<file path=xl/drawings/_rels/drawing2.xml.rels><?xml version="1.0" encoding="UTF-8" standalone="yes"?>
<Relationships xmlns="http://schemas.openxmlformats.org/package/2006/relationships"><Relationship Id="rId2" Type="http://schemas.openxmlformats.org/officeDocument/2006/relationships/hyperlink" Target="#'Lisez-moi !'!A1"/><Relationship Id="rId1" Type="http://schemas.openxmlformats.org/officeDocument/2006/relationships/hyperlink" Target="#'Portail de t&#233;l&#233;portation'!A1"/></Relationships>
</file>

<file path=xl/drawings/_rels/drawing3.xml.rels><?xml version="1.0" encoding="UTF-8" standalone="yes"?>
<Relationships xmlns="http://schemas.openxmlformats.org/package/2006/relationships"><Relationship Id="rId2" Type="http://schemas.openxmlformats.org/officeDocument/2006/relationships/hyperlink" Target="#'Lisez-moi !'!A1"/><Relationship Id="rId1" Type="http://schemas.openxmlformats.org/officeDocument/2006/relationships/hyperlink" Target="#'Portail de t&#233;l&#233;portation'!A1"/></Relationships>
</file>

<file path=xl/drawings/_rels/drawing4.xml.rels><?xml version="1.0" encoding="UTF-8" standalone="yes"?>
<Relationships xmlns="http://schemas.openxmlformats.org/package/2006/relationships"><Relationship Id="rId2" Type="http://schemas.openxmlformats.org/officeDocument/2006/relationships/hyperlink" Target="#'Lisez-moi !'!A1"/><Relationship Id="rId1" Type="http://schemas.openxmlformats.org/officeDocument/2006/relationships/hyperlink" Target="#'Portail de t&#233;l&#233;portation'!A1"/></Relationships>
</file>

<file path=xl/drawings/_rels/drawing5.xml.rels><?xml version="1.0" encoding="UTF-8" standalone="yes"?>
<Relationships xmlns="http://schemas.openxmlformats.org/package/2006/relationships"><Relationship Id="rId2" Type="http://schemas.openxmlformats.org/officeDocument/2006/relationships/hyperlink" Target="#'Lisez-moi !'!A1"/><Relationship Id="rId1" Type="http://schemas.openxmlformats.org/officeDocument/2006/relationships/hyperlink" Target="#'Portail de t&#233;l&#233;portation'!A1"/></Relationships>
</file>

<file path=xl/drawings/_rels/drawing6.xml.rels><?xml version="1.0" encoding="UTF-8" standalone="yes"?>
<Relationships xmlns="http://schemas.openxmlformats.org/package/2006/relationships"><Relationship Id="rId2" Type="http://schemas.openxmlformats.org/officeDocument/2006/relationships/hyperlink" Target="#'Lisez-moi !'!A1"/><Relationship Id="rId1" Type="http://schemas.openxmlformats.org/officeDocument/2006/relationships/hyperlink" Target="#'Portail de t&#233;l&#233;portation'!A1"/></Relationships>
</file>

<file path=xl/drawings/_rels/drawing7.xml.rels><?xml version="1.0" encoding="UTF-8" standalone="yes"?>
<Relationships xmlns="http://schemas.openxmlformats.org/package/2006/relationships"><Relationship Id="rId2" Type="http://schemas.openxmlformats.org/officeDocument/2006/relationships/hyperlink" Target="#'Lisez-moi !'!A1"/><Relationship Id="rId1" Type="http://schemas.openxmlformats.org/officeDocument/2006/relationships/hyperlink" Target="#'Portail de t&#233;l&#233;portation'!A1"/></Relationships>
</file>

<file path=xl/drawings/drawing1.xml><?xml version="1.0" encoding="utf-8"?>
<xdr:wsDr xmlns:xdr="http://schemas.openxmlformats.org/drawingml/2006/spreadsheetDrawing" xmlns:a="http://schemas.openxmlformats.org/drawingml/2006/main">
  <xdr:twoCellAnchor>
    <xdr:from>
      <xdr:col>0</xdr:col>
      <xdr:colOff>98612</xdr:colOff>
      <xdr:row>0</xdr:row>
      <xdr:rowOff>62752</xdr:rowOff>
    </xdr:from>
    <xdr:to>
      <xdr:col>0</xdr:col>
      <xdr:colOff>441960</xdr:colOff>
      <xdr:row>0</xdr:row>
      <xdr:rowOff>243839</xdr:rowOff>
    </xdr:to>
    <xdr:sp macro="" textlink="">
      <xdr:nvSpPr>
        <xdr:cNvPr id="4" name="Flèche : droite 2">
          <a:hlinkClick xmlns:r="http://schemas.openxmlformats.org/officeDocument/2006/relationships" r:id="rId1"/>
          <a:extLst>
            <a:ext uri="{FF2B5EF4-FFF2-40B4-BE49-F238E27FC236}">
              <a16:creationId xmlns="" xmlns:a16="http://schemas.microsoft.com/office/drawing/2014/main" id="{00000000-0008-0000-1300-000003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98612</xdr:colOff>
      <xdr:row>0</xdr:row>
      <xdr:rowOff>62752</xdr:rowOff>
    </xdr:from>
    <xdr:to>
      <xdr:col>0</xdr:col>
      <xdr:colOff>441960</xdr:colOff>
      <xdr:row>0</xdr:row>
      <xdr:rowOff>243839</xdr:rowOff>
    </xdr:to>
    <xdr:sp macro="" textlink="">
      <xdr:nvSpPr>
        <xdr:cNvPr id="5" name="Flèche : droite 3">
          <a:hlinkClick xmlns:r="http://schemas.openxmlformats.org/officeDocument/2006/relationships" r:id="rId2"/>
          <a:extLst>
            <a:ext uri="{FF2B5EF4-FFF2-40B4-BE49-F238E27FC236}">
              <a16:creationId xmlns="" xmlns:a16="http://schemas.microsoft.com/office/drawing/2014/main" id="{00000000-0008-0000-1300-000004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342900</xdr:colOff>
      <xdr:row>6</xdr:row>
      <xdr:rowOff>15240</xdr:rowOff>
    </xdr:from>
    <xdr:to>
      <xdr:col>3</xdr:col>
      <xdr:colOff>76200</xdr:colOff>
      <xdr:row>9</xdr:row>
      <xdr:rowOff>7620</xdr:rowOff>
    </xdr:to>
    <xdr:sp macro="" textlink="">
      <xdr:nvSpPr>
        <xdr:cNvPr id="6" name="Rectangle à coins arrondis 5">
          <a:hlinkClick xmlns:r="http://schemas.openxmlformats.org/officeDocument/2006/relationships" r:id="rId3"/>
        </xdr:cNvPr>
        <xdr:cNvSpPr/>
      </xdr:nvSpPr>
      <xdr:spPr>
        <a:xfrm>
          <a:off x="1135380" y="4335780"/>
          <a:ext cx="1318260" cy="541020"/>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a:t>Utilisation</a:t>
          </a:r>
          <a:r>
            <a:rPr lang="fr-FR" sz="1100" baseline="0"/>
            <a:t> des bâtiments</a:t>
          </a:r>
          <a:endParaRPr lang="fr-FR" sz="1100"/>
        </a:p>
      </xdr:txBody>
    </xdr:sp>
    <xdr:clientData/>
  </xdr:twoCellAnchor>
  <xdr:twoCellAnchor>
    <xdr:from>
      <xdr:col>3</xdr:col>
      <xdr:colOff>464820</xdr:colOff>
      <xdr:row>6</xdr:row>
      <xdr:rowOff>30480</xdr:rowOff>
    </xdr:from>
    <xdr:to>
      <xdr:col>5</xdr:col>
      <xdr:colOff>22860</xdr:colOff>
      <xdr:row>9</xdr:row>
      <xdr:rowOff>7620</xdr:rowOff>
    </xdr:to>
    <xdr:sp macro="" textlink="">
      <xdr:nvSpPr>
        <xdr:cNvPr id="7" name="Rectangle à coins arrondis 6">
          <a:hlinkClick xmlns:r="http://schemas.openxmlformats.org/officeDocument/2006/relationships" r:id="rId4"/>
        </xdr:cNvPr>
        <xdr:cNvSpPr/>
      </xdr:nvSpPr>
      <xdr:spPr>
        <a:xfrm>
          <a:off x="2842260" y="4351020"/>
          <a:ext cx="1143000" cy="525780"/>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aseline="0"/>
            <a:t>Alimentation</a:t>
          </a:r>
          <a:endParaRPr lang="fr-FR" sz="1100"/>
        </a:p>
      </xdr:txBody>
    </xdr:sp>
    <xdr:clientData/>
  </xdr:twoCellAnchor>
  <xdr:twoCellAnchor>
    <xdr:from>
      <xdr:col>5</xdr:col>
      <xdr:colOff>571500</xdr:colOff>
      <xdr:row>6</xdr:row>
      <xdr:rowOff>15240</xdr:rowOff>
    </xdr:from>
    <xdr:to>
      <xdr:col>7</xdr:col>
      <xdr:colOff>129540</xdr:colOff>
      <xdr:row>8</xdr:row>
      <xdr:rowOff>175260</xdr:rowOff>
    </xdr:to>
    <xdr:sp macro="" textlink="">
      <xdr:nvSpPr>
        <xdr:cNvPr id="8" name="Rectangle à coins arrondis 7">
          <a:hlinkClick xmlns:r="http://schemas.openxmlformats.org/officeDocument/2006/relationships" r:id="rId5"/>
        </xdr:cNvPr>
        <xdr:cNvSpPr/>
      </xdr:nvSpPr>
      <xdr:spPr>
        <a:xfrm>
          <a:off x="4533900" y="4335780"/>
          <a:ext cx="1143000" cy="5257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aseline="0"/>
            <a:t>Déplacements domicile-travail</a:t>
          </a:r>
          <a:endParaRPr lang="fr-FR" sz="1100"/>
        </a:p>
      </xdr:txBody>
    </xdr:sp>
    <xdr:clientData/>
  </xdr:twoCellAnchor>
  <xdr:twoCellAnchor>
    <xdr:from>
      <xdr:col>7</xdr:col>
      <xdr:colOff>495300</xdr:colOff>
      <xdr:row>6</xdr:row>
      <xdr:rowOff>38100</xdr:rowOff>
    </xdr:from>
    <xdr:to>
      <xdr:col>9</xdr:col>
      <xdr:colOff>53340</xdr:colOff>
      <xdr:row>9</xdr:row>
      <xdr:rowOff>15240</xdr:rowOff>
    </xdr:to>
    <xdr:sp macro="" textlink="">
      <xdr:nvSpPr>
        <xdr:cNvPr id="9" name="Rectangle à coins arrondis 8">
          <a:hlinkClick xmlns:r="http://schemas.openxmlformats.org/officeDocument/2006/relationships" r:id="rId6"/>
        </xdr:cNvPr>
        <xdr:cNvSpPr/>
      </xdr:nvSpPr>
      <xdr:spPr>
        <a:xfrm>
          <a:off x="6042660" y="4358640"/>
          <a:ext cx="1143000" cy="525780"/>
        </a:xfrm>
        <a:prstGeom prst="round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fr-FR" sz="1100" baseline="0"/>
            <a:t>Parc automobile</a:t>
          </a: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98612</xdr:colOff>
      <xdr:row>0</xdr:row>
      <xdr:rowOff>62752</xdr:rowOff>
    </xdr:from>
    <xdr:to>
      <xdr:col>0</xdr:col>
      <xdr:colOff>441960</xdr:colOff>
      <xdr:row>0</xdr:row>
      <xdr:rowOff>243839</xdr:rowOff>
    </xdr:to>
    <xdr:sp macro="" textlink="">
      <xdr:nvSpPr>
        <xdr:cNvPr id="2" name="Flèche : droite 2">
          <a:hlinkClick xmlns:r="http://schemas.openxmlformats.org/officeDocument/2006/relationships" r:id="rId1"/>
          <a:extLst>
            <a:ext uri="{FF2B5EF4-FFF2-40B4-BE49-F238E27FC236}">
              <a16:creationId xmlns="" xmlns:a16="http://schemas.microsoft.com/office/drawing/2014/main" id="{00000000-0008-0000-1300-000003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98612</xdr:colOff>
      <xdr:row>0</xdr:row>
      <xdr:rowOff>62752</xdr:rowOff>
    </xdr:from>
    <xdr:to>
      <xdr:col>0</xdr:col>
      <xdr:colOff>441960</xdr:colOff>
      <xdr:row>0</xdr:row>
      <xdr:rowOff>243839</xdr:rowOff>
    </xdr:to>
    <xdr:sp macro="" textlink="">
      <xdr:nvSpPr>
        <xdr:cNvPr id="3" name="Flèche : droite 3">
          <a:hlinkClick xmlns:r="http://schemas.openxmlformats.org/officeDocument/2006/relationships" r:id="rId2"/>
          <a:extLst>
            <a:ext uri="{FF2B5EF4-FFF2-40B4-BE49-F238E27FC236}">
              <a16:creationId xmlns="" xmlns:a16="http://schemas.microsoft.com/office/drawing/2014/main" id="{00000000-0008-0000-1300-000004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98612</xdr:colOff>
      <xdr:row>0</xdr:row>
      <xdr:rowOff>62752</xdr:rowOff>
    </xdr:from>
    <xdr:to>
      <xdr:col>0</xdr:col>
      <xdr:colOff>441960</xdr:colOff>
      <xdr:row>0</xdr:row>
      <xdr:rowOff>243839</xdr:rowOff>
    </xdr:to>
    <xdr:sp macro="" textlink="">
      <xdr:nvSpPr>
        <xdr:cNvPr id="2" name="Flèche : droite 2">
          <a:hlinkClick xmlns:r="http://schemas.openxmlformats.org/officeDocument/2006/relationships" r:id="rId1"/>
          <a:extLst>
            <a:ext uri="{FF2B5EF4-FFF2-40B4-BE49-F238E27FC236}">
              <a16:creationId xmlns="" xmlns:a16="http://schemas.microsoft.com/office/drawing/2014/main" id="{00000000-0008-0000-1300-000003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98612</xdr:colOff>
      <xdr:row>0</xdr:row>
      <xdr:rowOff>62752</xdr:rowOff>
    </xdr:from>
    <xdr:to>
      <xdr:col>0</xdr:col>
      <xdr:colOff>441960</xdr:colOff>
      <xdr:row>0</xdr:row>
      <xdr:rowOff>243839</xdr:rowOff>
    </xdr:to>
    <xdr:sp macro="" textlink="">
      <xdr:nvSpPr>
        <xdr:cNvPr id="3" name="Flèche : droite 3">
          <a:hlinkClick xmlns:r="http://schemas.openxmlformats.org/officeDocument/2006/relationships" r:id="rId2"/>
          <a:extLst>
            <a:ext uri="{FF2B5EF4-FFF2-40B4-BE49-F238E27FC236}">
              <a16:creationId xmlns="" xmlns:a16="http://schemas.microsoft.com/office/drawing/2014/main" id="{00000000-0008-0000-1300-000004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98612</xdr:colOff>
      <xdr:row>0</xdr:row>
      <xdr:rowOff>62752</xdr:rowOff>
    </xdr:from>
    <xdr:to>
      <xdr:col>0</xdr:col>
      <xdr:colOff>441960</xdr:colOff>
      <xdr:row>0</xdr:row>
      <xdr:rowOff>243839</xdr:rowOff>
    </xdr:to>
    <xdr:sp macro="" textlink="">
      <xdr:nvSpPr>
        <xdr:cNvPr id="2" name="Flèche : droite 2">
          <a:hlinkClick xmlns:r="http://schemas.openxmlformats.org/officeDocument/2006/relationships" r:id="rId1"/>
          <a:extLst>
            <a:ext uri="{FF2B5EF4-FFF2-40B4-BE49-F238E27FC236}">
              <a16:creationId xmlns="" xmlns:a16="http://schemas.microsoft.com/office/drawing/2014/main" id="{00000000-0008-0000-1300-000003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98612</xdr:colOff>
      <xdr:row>0</xdr:row>
      <xdr:rowOff>62752</xdr:rowOff>
    </xdr:from>
    <xdr:to>
      <xdr:col>0</xdr:col>
      <xdr:colOff>441960</xdr:colOff>
      <xdr:row>0</xdr:row>
      <xdr:rowOff>243839</xdr:rowOff>
    </xdr:to>
    <xdr:sp macro="" textlink="">
      <xdr:nvSpPr>
        <xdr:cNvPr id="3" name="Flèche : droite 3">
          <a:hlinkClick xmlns:r="http://schemas.openxmlformats.org/officeDocument/2006/relationships" r:id="rId2"/>
          <a:extLst>
            <a:ext uri="{FF2B5EF4-FFF2-40B4-BE49-F238E27FC236}">
              <a16:creationId xmlns="" xmlns:a16="http://schemas.microsoft.com/office/drawing/2014/main" id="{00000000-0008-0000-1300-000004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98612</xdr:colOff>
      <xdr:row>0</xdr:row>
      <xdr:rowOff>62752</xdr:rowOff>
    </xdr:from>
    <xdr:to>
      <xdr:col>0</xdr:col>
      <xdr:colOff>441960</xdr:colOff>
      <xdr:row>0</xdr:row>
      <xdr:rowOff>243839</xdr:rowOff>
    </xdr:to>
    <xdr:sp macro="" textlink="">
      <xdr:nvSpPr>
        <xdr:cNvPr id="2" name="Flèche : droite 2">
          <a:hlinkClick xmlns:r="http://schemas.openxmlformats.org/officeDocument/2006/relationships" r:id="rId1"/>
          <a:extLst>
            <a:ext uri="{FF2B5EF4-FFF2-40B4-BE49-F238E27FC236}">
              <a16:creationId xmlns="" xmlns:a16="http://schemas.microsoft.com/office/drawing/2014/main" id="{00000000-0008-0000-1300-000003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98612</xdr:colOff>
      <xdr:row>0</xdr:row>
      <xdr:rowOff>62752</xdr:rowOff>
    </xdr:from>
    <xdr:to>
      <xdr:col>0</xdr:col>
      <xdr:colOff>441960</xdr:colOff>
      <xdr:row>0</xdr:row>
      <xdr:rowOff>243839</xdr:rowOff>
    </xdr:to>
    <xdr:sp macro="" textlink="">
      <xdr:nvSpPr>
        <xdr:cNvPr id="3" name="Flèche : droite 3">
          <a:hlinkClick xmlns:r="http://schemas.openxmlformats.org/officeDocument/2006/relationships" r:id="rId2"/>
          <a:extLst>
            <a:ext uri="{FF2B5EF4-FFF2-40B4-BE49-F238E27FC236}">
              <a16:creationId xmlns="" xmlns:a16="http://schemas.microsoft.com/office/drawing/2014/main" id="{00000000-0008-0000-1300-000004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98612</xdr:colOff>
      <xdr:row>0</xdr:row>
      <xdr:rowOff>62752</xdr:rowOff>
    </xdr:from>
    <xdr:to>
      <xdr:col>0</xdr:col>
      <xdr:colOff>441960</xdr:colOff>
      <xdr:row>0</xdr:row>
      <xdr:rowOff>243839</xdr:rowOff>
    </xdr:to>
    <xdr:sp macro="" textlink="">
      <xdr:nvSpPr>
        <xdr:cNvPr id="2" name="Flèche : droite 2">
          <a:hlinkClick xmlns:r="http://schemas.openxmlformats.org/officeDocument/2006/relationships" r:id="rId1"/>
          <a:extLst>
            <a:ext uri="{FF2B5EF4-FFF2-40B4-BE49-F238E27FC236}">
              <a16:creationId xmlns="" xmlns:a16="http://schemas.microsoft.com/office/drawing/2014/main" id="{00000000-0008-0000-1300-000003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98612</xdr:colOff>
      <xdr:row>0</xdr:row>
      <xdr:rowOff>62752</xdr:rowOff>
    </xdr:from>
    <xdr:to>
      <xdr:col>0</xdr:col>
      <xdr:colOff>441960</xdr:colOff>
      <xdr:row>0</xdr:row>
      <xdr:rowOff>243839</xdr:rowOff>
    </xdr:to>
    <xdr:sp macro="" textlink="">
      <xdr:nvSpPr>
        <xdr:cNvPr id="3" name="Flèche : droite 3">
          <a:hlinkClick xmlns:r="http://schemas.openxmlformats.org/officeDocument/2006/relationships" r:id="rId2"/>
          <a:extLst>
            <a:ext uri="{FF2B5EF4-FFF2-40B4-BE49-F238E27FC236}">
              <a16:creationId xmlns="" xmlns:a16="http://schemas.microsoft.com/office/drawing/2014/main" id="{00000000-0008-0000-1300-000004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98612</xdr:colOff>
      <xdr:row>0</xdr:row>
      <xdr:rowOff>62752</xdr:rowOff>
    </xdr:from>
    <xdr:to>
      <xdr:col>0</xdr:col>
      <xdr:colOff>441960</xdr:colOff>
      <xdr:row>0</xdr:row>
      <xdr:rowOff>243839</xdr:rowOff>
    </xdr:to>
    <xdr:sp macro="" textlink="">
      <xdr:nvSpPr>
        <xdr:cNvPr id="2" name="Flèche : droite 2">
          <a:hlinkClick xmlns:r="http://schemas.openxmlformats.org/officeDocument/2006/relationships" r:id="rId1"/>
          <a:extLst>
            <a:ext uri="{FF2B5EF4-FFF2-40B4-BE49-F238E27FC236}">
              <a16:creationId xmlns="" xmlns:a16="http://schemas.microsoft.com/office/drawing/2014/main" id="{00000000-0008-0000-1300-000003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98612</xdr:colOff>
      <xdr:row>0</xdr:row>
      <xdr:rowOff>62752</xdr:rowOff>
    </xdr:from>
    <xdr:to>
      <xdr:col>0</xdr:col>
      <xdr:colOff>441960</xdr:colOff>
      <xdr:row>0</xdr:row>
      <xdr:rowOff>243839</xdr:rowOff>
    </xdr:to>
    <xdr:sp macro="" textlink="">
      <xdr:nvSpPr>
        <xdr:cNvPr id="3" name="Flèche : droite 3">
          <a:hlinkClick xmlns:r="http://schemas.openxmlformats.org/officeDocument/2006/relationships" r:id="rId2"/>
          <a:extLst>
            <a:ext uri="{FF2B5EF4-FFF2-40B4-BE49-F238E27FC236}">
              <a16:creationId xmlns="" xmlns:a16="http://schemas.microsoft.com/office/drawing/2014/main" id="{00000000-0008-0000-1300-000004000000}"/>
            </a:ext>
          </a:extLst>
        </xdr:cNvPr>
        <xdr:cNvSpPr/>
      </xdr:nvSpPr>
      <xdr:spPr>
        <a:xfrm rot="10800000">
          <a:off x="98612" y="62752"/>
          <a:ext cx="343348" cy="18108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ilan_Carbone_V8.5-7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an-Guillaume\Nextcloud\PTEF\22%20-%20Admin%20publique\10%20-%20Livrables%20-%20R&#233;daction\Briques%20en%20cours%20de%20r&#233;daction\Chiffrages\Chiffrage%20macro\Carbonistration%20v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sheetName val="Energie 1"/>
      <sheetName val="Energie 2"/>
      <sheetName val="Hors énergie 1"/>
      <sheetName val="Hors énergie 2"/>
      <sheetName val="Intrants 1"/>
      <sheetName val="Intrants 2"/>
      <sheetName val="Futurs emballages"/>
      <sheetName val="Déchets directs"/>
      <sheetName val="Fret"/>
      <sheetName val="Déplacements"/>
      <sheetName val="Immobilisations"/>
      <sheetName val="Utilisation"/>
      <sheetName val="Fin de vie"/>
      <sheetName val="Utilitaires"/>
      <sheetName val="Recap CO2e"/>
      <sheetName val="Ratios"/>
      <sheetName val="Bilan GES"/>
      <sheetName val="ISO 14069"/>
      <sheetName val="GHG Protocol"/>
      <sheetName val="CDP 2018"/>
      <sheetName val="Graphiques"/>
      <sheetName val="FE Energie"/>
      <sheetName val="FE Hors Energie"/>
      <sheetName val="FE Intrants"/>
      <sheetName val="FE Déchets"/>
      <sheetName val="FE Fret"/>
      <sheetName val="FE Déplacements"/>
      <sheetName val="FE Immobilisations"/>
      <sheetName val="export postes"/>
      <sheetName val="export sous-pos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86">
          <cell r="M586" t="str">
            <v>Oui</v>
          </cell>
        </row>
        <row r="587">
          <cell r="M587" t="str">
            <v>Non</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J2" t="str">
            <v>Recommandations d'utilisation : 
Plusieurs lignes blanches sont laissées vierges à la fin de chaque liste : vous pouvez y ajouter les facteurs d'émission que vous souhaitez inclure aux listes déroulantes.
Si ces lignes ne suffisent pas, copiez puis insérez des lignes existantes puis assurez vous que les formules des colonnes D à G sont bien continues. Les suites de numéros des colonnes B et D ne doivent pas être interrompues. En cas de doute, faites glisser la formule de la première ligne de la liste.
Attention : les unités et type doivent correspondre à celles inscrites dans les onglets de calcul (sinon, une erreur vous avertira très vite). Pensez à indiquer vos sources en bas de page !</v>
          </cell>
        </row>
        <row r="137">
          <cell r="C137" t="str">
            <v>Machines, France continentale, Base Carbone</v>
          </cell>
        </row>
        <row r="138">
          <cell r="C138" t="str">
            <v>Mobilier, France continentale, Base Carbone</v>
          </cell>
        </row>
        <row r="139">
          <cell r="C139" t="str">
            <v>Véhicules, France continentale, Base Carbone</v>
          </cell>
        </row>
        <row r="140">
          <cell r="C140" t="str">
            <v>-</v>
          </cell>
        </row>
        <row r="141">
          <cell r="C141" t="str">
            <v>-</v>
          </cell>
        </row>
        <row r="142">
          <cell r="C142" t="str">
            <v>-</v>
          </cell>
        </row>
      </sheetData>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n global"/>
      <sheetName val="Registre des versions"/>
      <sheetName val="Données communes"/>
      <sheetName val="2"/>
      <sheetName val="2 bis - parc auto"/>
      <sheetName val="22"/>
      <sheetName val="9"/>
      <sheetName val="9.alimentaire"/>
      <sheetName val="1"/>
      <sheetName val="6"/>
      <sheetName val="9.fournitures_administratives"/>
      <sheetName val="9.services_fortement_matériels"/>
      <sheetName val="10"/>
      <sheetName val="10.bâtiments"/>
      <sheetName val="10.véhicules"/>
      <sheetName val="16"/>
      <sheetName val="16.patients"/>
      <sheetName val="16.visiteurs"/>
      <sheetName val="Auxiliai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2">
          <cell r="B12">
            <v>11.63</v>
          </cell>
        </row>
        <row r="13">
          <cell r="B13">
            <v>11630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J4"/>
  <sheetViews>
    <sheetView workbookViewId="0">
      <selection activeCell="M4" sqref="M4"/>
    </sheetView>
  </sheetViews>
  <sheetFormatPr baseColWidth="10" defaultRowHeight="15" x14ac:dyDescent="0.25"/>
  <sheetData>
    <row r="1" spans="1:10" ht="26.25" x14ac:dyDescent="0.25">
      <c r="A1" s="206"/>
      <c r="B1" s="254" t="s">
        <v>249</v>
      </c>
      <c r="C1" s="254"/>
      <c r="D1" s="254"/>
      <c r="E1" s="254"/>
      <c r="F1" s="254"/>
      <c r="G1" s="254"/>
      <c r="H1" s="254"/>
    </row>
    <row r="3" spans="1:10" ht="15.75" thickBot="1" x14ac:dyDescent="0.3"/>
    <row r="4" spans="1:10" ht="256.14999999999998" customHeight="1" thickBot="1" x14ac:dyDescent="0.3">
      <c r="B4" s="255" t="s">
        <v>250</v>
      </c>
      <c r="C4" s="256"/>
      <c r="D4" s="256"/>
      <c r="E4" s="256"/>
      <c r="F4" s="256"/>
      <c r="G4" s="256"/>
      <c r="H4" s="256"/>
      <c r="I4" s="256"/>
      <c r="J4" s="257"/>
    </row>
  </sheetData>
  <mergeCells count="2">
    <mergeCell ref="B1:H1"/>
    <mergeCell ref="B4:J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5:Q37"/>
  <sheetViews>
    <sheetView zoomScaleNormal="100" workbookViewId="0">
      <selection activeCell="D18" sqref="D18"/>
    </sheetView>
  </sheetViews>
  <sheetFormatPr baseColWidth="10" defaultColWidth="9.140625" defaultRowHeight="15" x14ac:dyDescent="0.25"/>
  <cols>
    <col min="2" max="2" width="19.140625" customWidth="1"/>
    <col min="14" max="14" width="40.42578125" customWidth="1"/>
    <col min="15" max="15" width="26.5703125" customWidth="1"/>
  </cols>
  <sheetData>
    <row r="5" spans="2:17" ht="16.5" thickBot="1" x14ac:dyDescent="0.3">
      <c r="B5" s="1" t="s">
        <v>0</v>
      </c>
      <c r="C5" s="2"/>
      <c r="D5" s="2"/>
      <c r="E5" s="3"/>
      <c r="F5" s="3"/>
      <c r="G5" s="3"/>
      <c r="H5" s="3"/>
      <c r="I5" s="3"/>
    </row>
    <row r="6" spans="2:17" ht="32.25" thickBot="1" x14ac:dyDescent="0.3">
      <c r="B6" s="3"/>
      <c r="C6" s="2"/>
      <c r="D6" s="2"/>
      <c r="E6" s="3"/>
      <c r="F6" s="4"/>
      <c r="G6" s="4"/>
      <c r="H6" s="3"/>
      <c r="I6" s="5" t="s">
        <v>1</v>
      </c>
      <c r="N6" s="17"/>
      <c r="O6" s="18" t="s">
        <v>20</v>
      </c>
    </row>
    <row r="7" spans="2:17" ht="16.5" thickBot="1" x14ac:dyDescent="0.3">
      <c r="B7" s="6" t="s">
        <v>2</v>
      </c>
      <c r="C7" s="7">
        <v>1990</v>
      </c>
      <c r="D7" s="7">
        <v>1995</v>
      </c>
      <c r="E7" s="7">
        <v>2000</v>
      </c>
      <c r="F7" s="7">
        <v>2005</v>
      </c>
      <c r="G7" s="7">
        <v>2010</v>
      </c>
      <c r="H7" s="7">
        <v>2015</v>
      </c>
      <c r="I7" s="7">
        <v>2019</v>
      </c>
      <c r="N7" s="19" t="s">
        <v>2</v>
      </c>
      <c r="O7" s="20">
        <v>2007</v>
      </c>
    </row>
    <row r="8" spans="2:17" ht="16.5" thickBot="1" x14ac:dyDescent="0.3">
      <c r="B8" s="8" t="s">
        <v>3</v>
      </c>
      <c r="C8" s="9">
        <v>38.732283036389958</v>
      </c>
      <c r="D8" s="9">
        <v>44.327757653578864</v>
      </c>
      <c r="E8" s="9">
        <v>49.923751318237471</v>
      </c>
      <c r="F8" s="9">
        <v>53.526666247930578</v>
      </c>
      <c r="G8" s="9">
        <v>56.190485100073317</v>
      </c>
      <c r="H8" s="9">
        <v>57.412259054328217</v>
      </c>
      <c r="I8" s="9">
        <v>59.387874514125258</v>
      </c>
      <c r="N8" s="21" t="s">
        <v>3</v>
      </c>
      <c r="O8" s="22">
        <v>0.13</v>
      </c>
      <c r="Q8" s="34"/>
    </row>
    <row r="9" spans="2:17" ht="16.5" thickBot="1" x14ac:dyDescent="0.3">
      <c r="B9" s="8" t="s">
        <v>4</v>
      </c>
      <c r="C9" s="9">
        <v>18.262780650166818</v>
      </c>
      <c r="D9" s="9">
        <v>20.003291165406075</v>
      </c>
      <c r="E9" s="9">
        <v>21.593030254040009</v>
      </c>
      <c r="F9" s="9">
        <v>22.120622942137874</v>
      </c>
      <c r="G9" s="9">
        <v>23.092690487955732</v>
      </c>
      <c r="H9" s="9">
        <v>22.760087773988591</v>
      </c>
      <c r="I9" s="9">
        <v>22.992388398833878</v>
      </c>
      <c r="N9" s="23" t="s">
        <v>4</v>
      </c>
      <c r="O9" s="24">
        <v>0</v>
      </c>
      <c r="Q9" s="34"/>
    </row>
    <row r="10" spans="2:17" ht="16.5" thickBot="1" x14ac:dyDescent="0.3">
      <c r="B10" s="8" t="s">
        <v>5</v>
      </c>
      <c r="C10" s="9">
        <v>40.759570589283285</v>
      </c>
      <c r="D10" s="9">
        <v>42.965429638908155</v>
      </c>
      <c r="E10" s="9">
        <v>47.814434821324618</v>
      </c>
      <c r="F10" s="9">
        <v>50.783601738075774</v>
      </c>
      <c r="G10" s="9">
        <v>51.8717359118586</v>
      </c>
      <c r="H10" s="9">
        <v>50.45328698455198</v>
      </c>
      <c r="I10" s="9">
        <v>48.531279797785629</v>
      </c>
      <c r="N10" s="21" t="s">
        <v>5</v>
      </c>
      <c r="O10" s="22">
        <v>0</v>
      </c>
      <c r="Q10" s="34"/>
    </row>
    <row r="11" spans="2:17" ht="16.5" thickBot="1" x14ac:dyDescent="0.3">
      <c r="B11" s="8" t="s">
        <v>6</v>
      </c>
      <c r="C11" s="9">
        <v>23.965327435951103</v>
      </c>
      <c r="D11" s="9">
        <v>24.556936477949428</v>
      </c>
      <c r="E11" s="9">
        <v>26.212612787523998</v>
      </c>
      <c r="F11" s="9">
        <v>26.27527906499083</v>
      </c>
      <c r="G11" s="9">
        <v>26.336060464569165</v>
      </c>
      <c r="H11" s="9">
        <v>26.148084206544308</v>
      </c>
      <c r="I11" s="9">
        <v>25.374936740338931</v>
      </c>
      <c r="N11" s="23" t="s">
        <v>21</v>
      </c>
      <c r="O11" s="24">
        <v>0.72</v>
      </c>
      <c r="Q11" s="34"/>
    </row>
    <row r="12" spans="2:17" ht="79.5" thickBot="1" x14ac:dyDescent="0.3">
      <c r="B12" s="8" t="s">
        <v>7</v>
      </c>
      <c r="C12" s="9">
        <v>10.705162060648505</v>
      </c>
      <c r="D12" s="9">
        <v>11.436022789400996</v>
      </c>
      <c r="E12" s="9">
        <v>12.417963192251607</v>
      </c>
      <c r="F12" s="9">
        <v>12.531793298592463</v>
      </c>
      <c r="G12" s="9">
        <v>13.398561288117346</v>
      </c>
      <c r="H12" s="9">
        <v>13.44862547537603</v>
      </c>
      <c r="I12" s="9">
        <v>13.186118671453057</v>
      </c>
      <c r="N12" s="21" t="s">
        <v>22</v>
      </c>
      <c r="O12" s="22">
        <v>0.23</v>
      </c>
      <c r="Q12" s="34"/>
    </row>
    <row r="13" spans="2:17" ht="48" thickBot="1" x14ac:dyDescent="0.3">
      <c r="B13" s="8" t="s">
        <v>8</v>
      </c>
      <c r="C13" s="9">
        <v>22.164021857920371</v>
      </c>
      <c r="D13" s="9">
        <v>23.379763704908939</v>
      </c>
      <c r="E13" s="9">
        <v>25.016277189634806</v>
      </c>
      <c r="F13" s="9">
        <v>25.838823083331445</v>
      </c>
      <c r="G13" s="9">
        <v>26.820588128540148</v>
      </c>
      <c r="H13" s="9">
        <v>27.270240040118058</v>
      </c>
      <c r="I13" s="9">
        <v>27.453679742839576</v>
      </c>
      <c r="N13" s="23" t="s">
        <v>23</v>
      </c>
      <c r="O13" s="24">
        <v>0.41</v>
      </c>
      <c r="Q13" s="34"/>
    </row>
    <row r="14" spans="2:17" ht="16.5" thickBot="1" x14ac:dyDescent="0.3">
      <c r="B14" s="8" t="s">
        <v>9</v>
      </c>
      <c r="C14" s="9">
        <v>10.422309418233489</v>
      </c>
      <c r="D14" s="9">
        <v>12.900842782056211</v>
      </c>
      <c r="E14" s="9">
        <v>15.753984943226088</v>
      </c>
      <c r="F14" s="9">
        <v>16.9557276412059</v>
      </c>
      <c r="G14" s="9">
        <v>17.736445897872493</v>
      </c>
      <c r="H14" s="9">
        <v>17.669094553480097</v>
      </c>
      <c r="I14" s="9">
        <v>17.949258448674954</v>
      </c>
      <c r="N14" s="21" t="s">
        <v>9</v>
      </c>
      <c r="O14" s="22">
        <v>0.49</v>
      </c>
      <c r="Q14" s="34"/>
    </row>
    <row r="15" spans="2:17" ht="16.5" thickBot="1" x14ac:dyDescent="0.3">
      <c r="B15" s="8" t="s">
        <v>10</v>
      </c>
      <c r="C15" s="9">
        <v>7.6942854700378742</v>
      </c>
      <c r="D15" s="9">
        <v>7.6981259291424875</v>
      </c>
      <c r="E15" s="9">
        <v>8.6171662140530927</v>
      </c>
      <c r="F15" s="9">
        <v>8.6251976025134063</v>
      </c>
      <c r="G15" s="9">
        <v>8.4396394004659818</v>
      </c>
      <c r="H15" s="9">
        <v>8.0415113646947933</v>
      </c>
      <c r="I15" s="9">
        <v>7.849150398065972</v>
      </c>
      <c r="N15" s="23" t="s">
        <v>10</v>
      </c>
      <c r="O15" s="24">
        <v>0</v>
      </c>
      <c r="Q15" s="34"/>
    </row>
    <row r="16" spans="2:17" x14ac:dyDescent="0.25">
      <c r="B16" s="6" t="s">
        <v>11</v>
      </c>
      <c r="C16" s="10">
        <v>172.70574051863142</v>
      </c>
      <c r="D16" s="10">
        <v>187.26817014135113</v>
      </c>
      <c r="E16" s="10">
        <v>207.34922072029173</v>
      </c>
      <c r="F16" s="10">
        <v>216.65771161877828</v>
      </c>
      <c r="G16" s="10">
        <v>223.88620667945278</v>
      </c>
      <c r="H16" s="10">
        <v>223.20318945308208</v>
      </c>
      <c r="I16" s="10">
        <v>222.72468671211723</v>
      </c>
    </row>
    <row r="17" spans="2:9" x14ac:dyDescent="0.25">
      <c r="B17" s="12"/>
      <c r="C17" s="13"/>
      <c r="D17" s="3"/>
      <c r="E17" s="3"/>
      <c r="F17" s="3"/>
      <c r="G17" s="3"/>
      <c r="H17" s="3"/>
      <c r="I17" s="14" t="s">
        <v>18</v>
      </c>
    </row>
    <row r="19" spans="2:9" ht="15.75" x14ac:dyDescent="0.25">
      <c r="B19" s="1" t="s">
        <v>12</v>
      </c>
      <c r="C19" s="2"/>
      <c r="D19" s="2"/>
      <c r="E19" s="3"/>
      <c r="F19" s="3"/>
      <c r="G19" s="3"/>
      <c r="H19" s="3"/>
      <c r="I19" s="3"/>
    </row>
    <row r="20" spans="2:9" x14ac:dyDescent="0.25">
      <c r="B20" s="3"/>
      <c r="C20" s="2"/>
      <c r="D20" s="2"/>
      <c r="E20" s="3"/>
      <c r="F20" s="4"/>
      <c r="G20" s="4"/>
      <c r="H20" s="3"/>
      <c r="I20" s="5" t="s">
        <v>1</v>
      </c>
    </row>
    <row r="21" spans="2:9" x14ac:dyDescent="0.25">
      <c r="B21" s="6" t="s">
        <v>13</v>
      </c>
      <c r="C21" s="7">
        <v>1990</v>
      </c>
      <c r="D21" s="7">
        <v>1995</v>
      </c>
      <c r="E21" s="7">
        <v>2000</v>
      </c>
      <c r="F21" s="7">
        <v>2005</v>
      </c>
      <c r="G21" s="7">
        <v>2010</v>
      </c>
      <c r="H21" s="7">
        <v>2015</v>
      </c>
      <c r="I21" s="7">
        <v>2019</v>
      </c>
    </row>
    <row r="22" spans="2:9" x14ac:dyDescent="0.25">
      <c r="B22" s="8" t="s">
        <v>14</v>
      </c>
      <c r="C22" s="9">
        <v>47.551331056918293</v>
      </c>
      <c r="D22" s="9">
        <v>55.909669220699968</v>
      </c>
      <c r="E22" s="9">
        <v>65.172740116307438</v>
      </c>
      <c r="F22" s="9">
        <v>69.089794014273409</v>
      </c>
      <c r="G22" s="9">
        <v>72.0224629382882</v>
      </c>
      <c r="H22" s="9">
        <v>71.062475043151011</v>
      </c>
      <c r="I22" s="9">
        <v>69.770886674483478</v>
      </c>
    </row>
    <row r="23" spans="2:9" x14ac:dyDescent="0.25">
      <c r="B23" s="8" t="s">
        <v>15</v>
      </c>
      <c r="C23" s="9">
        <v>48.153213440620156</v>
      </c>
      <c r="D23" s="9">
        <v>43.697644780433826</v>
      </c>
      <c r="E23" s="9">
        <v>43.757611498699482</v>
      </c>
      <c r="F23" s="9">
        <v>39.945124003700919</v>
      </c>
      <c r="G23" s="9">
        <v>33.363774316458318</v>
      </c>
      <c r="H23" s="9">
        <v>27.751703026362769</v>
      </c>
      <c r="I23" s="9">
        <v>25.87338264285253</v>
      </c>
    </row>
    <row r="24" spans="2:9" x14ac:dyDescent="0.25">
      <c r="B24" s="8" t="s">
        <v>16</v>
      </c>
      <c r="C24" s="9">
        <v>14.598803135801351</v>
      </c>
      <c r="D24" s="9">
        <v>14.91931314401527</v>
      </c>
      <c r="E24" s="9">
        <v>15.526643266808657</v>
      </c>
      <c r="F24" s="9">
        <v>15.176376956698309</v>
      </c>
      <c r="G24" s="9">
        <v>15.35320711625268</v>
      </c>
      <c r="H24" s="9">
        <v>15.27078889607626</v>
      </c>
      <c r="I24" s="9">
        <v>15.171746899264669</v>
      </c>
    </row>
    <row r="25" spans="2:9" x14ac:dyDescent="0.25">
      <c r="B25" s="8" t="s">
        <v>17</v>
      </c>
      <c r="C25" s="9">
        <v>62.40239288529159</v>
      </c>
      <c r="D25" s="9">
        <v>72.741542996202099</v>
      </c>
      <c r="E25" s="9">
        <v>82.892225838476108</v>
      </c>
      <c r="F25" s="9">
        <v>92.446416644105639</v>
      </c>
      <c r="G25" s="9">
        <v>103.14676230845362</v>
      </c>
      <c r="H25" s="9">
        <v>109.11822248749205</v>
      </c>
      <c r="I25" s="9">
        <v>111.90867049551657</v>
      </c>
    </row>
    <row r="26" spans="2:9" x14ac:dyDescent="0.25">
      <c r="B26" s="6" t="s">
        <v>11</v>
      </c>
      <c r="C26" s="11">
        <v>172.70574051863139</v>
      </c>
      <c r="D26" s="11">
        <v>187.26817014135116</v>
      </c>
      <c r="E26" s="11">
        <v>207.34922072029167</v>
      </c>
      <c r="F26" s="11">
        <v>216.65771161877825</v>
      </c>
      <c r="G26" s="11">
        <v>223.88620667945281</v>
      </c>
      <c r="H26" s="11">
        <v>223.20318945308208</v>
      </c>
      <c r="I26" s="11">
        <v>222.72468671211726</v>
      </c>
    </row>
    <row r="27" spans="2:9" x14ac:dyDescent="0.25">
      <c r="B27" s="12"/>
      <c r="C27" s="13"/>
      <c r="D27" s="3"/>
      <c r="E27" s="3"/>
      <c r="F27" s="3"/>
      <c r="G27" s="3"/>
      <c r="H27" s="3"/>
      <c r="I27" s="14" t="s">
        <v>18</v>
      </c>
    </row>
    <row r="28" spans="2:9" x14ac:dyDescent="0.25">
      <c r="B28" s="3"/>
      <c r="C28" s="13"/>
      <c r="D28" s="13"/>
      <c r="E28" s="3"/>
      <c r="F28" s="3"/>
      <c r="G28" s="3"/>
      <c r="H28" s="3"/>
      <c r="I28" s="3"/>
    </row>
    <row r="29" spans="2:9" ht="15.75" x14ac:dyDescent="0.25">
      <c r="B29" s="1" t="s">
        <v>19</v>
      </c>
      <c r="C29" s="13"/>
      <c r="D29" s="13"/>
      <c r="E29" s="3"/>
      <c r="F29" s="15"/>
      <c r="G29" s="15"/>
      <c r="H29" s="3"/>
      <c r="I29" s="3"/>
    </row>
    <row r="30" spans="2:9" x14ac:dyDescent="0.25">
      <c r="B30" s="2"/>
      <c r="C30" s="13"/>
      <c r="D30" s="13"/>
      <c r="E30" s="3"/>
      <c r="F30" s="4"/>
      <c r="G30" s="4"/>
      <c r="H30" s="3"/>
      <c r="I30" s="16" t="s">
        <v>1</v>
      </c>
    </row>
    <row r="31" spans="2:9" x14ac:dyDescent="0.25">
      <c r="B31" s="6" t="s">
        <v>13</v>
      </c>
      <c r="C31" s="7">
        <v>1990</v>
      </c>
      <c r="D31" s="7">
        <v>1995</v>
      </c>
      <c r="E31" s="7">
        <v>2000</v>
      </c>
      <c r="F31" s="7">
        <v>2005</v>
      </c>
      <c r="G31" s="7">
        <v>2010</v>
      </c>
      <c r="H31" s="7">
        <v>2015</v>
      </c>
      <c r="I31" s="7">
        <v>2019</v>
      </c>
    </row>
    <row r="32" spans="2:9" x14ac:dyDescent="0.25">
      <c r="B32" s="8" t="s">
        <v>14</v>
      </c>
      <c r="C32" s="9">
        <v>35.748682059216002</v>
      </c>
      <c r="D32" s="9">
        <v>41.722720477246007</v>
      </c>
      <c r="E32" s="9">
        <v>49.211372387320729</v>
      </c>
      <c r="F32" s="9">
        <v>52.01981190143632</v>
      </c>
      <c r="G32" s="9">
        <v>54.08456800134902</v>
      </c>
      <c r="H32" s="9">
        <v>53.094309577166008</v>
      </c>
      <c r="I32" s="9">
        <v>51.400591863213343</v>
      </c>
    </row>
    <row r="33" spans="2:9" x14ac:dyDescent="0.25">
      <c r="B33" s="8" t="s">
        <v>15</v>
      </c>
      <c r="C33" s="9">
        <v>39.825267236826591</v>
      </c>
      <c r="D33" s="9">
        <v>35.097276032959343</v>
      </c>
      <c r="E33" s="9">
        <v>35.124908199835588</v>
      </c>
      <c r="F33" s="9">
        <v>31.621173742508986</v>
      </c>
      <c r="G33" s="9">
        <v>25.468679969895728</v>
      </c>
      <c r="H33" s="9">
        <v>20.152735805355139</v>
      </c>
      <c r="I33" s="9">
        <v>18.272340518581959</v>
      </c>
    </row>
    <row r="34" spans="2:9" x14ac:dyDescent="0.25">
      <c r="B34" s="8" t="s">
        <v>16</v>
      </c>
      <c r="C34" s="9">
        <v>10.689521433771869</v>
      </c>
      <c r="D34" s="9">
        <v>10.577486314169652</v>
      </c>
      <c r="E34" s="9">
        <v>10.977160768763778</v>
      </c>
      <c r="F34" s="9">
        <v>10.662833070885842</v>
      </c>
      <c r="G34" s="9">
        <v>10.756918983559551</v>
      </c>
      <c r="H34" s="9">
        <v>10.561970221767274</v>
      </c>
      <c r="I34" s="9">
        <v>10.366685904445749</v>
      </c>
    </row>
    <row r="35" spans="2:9" x14ac:dyDescent="0.25">
      <c r="B35" s="8" t="s">
        <v>17</v>
      </c>
      <c r="C35" s="9">
        <v>12.363451839624755</v>
      </c>
      <c r="D35" s="9">
        <v>13.468596700085145</v>
      </c>
      <c r="E35" s="9">
        <v>15.318933444794906</v>
      </c>
      <c r="F35" s="9">
        <v>16.181270645723977</v>
      </c>
      <c r="G35" s="9">
        <v>17.912817406414018</v>
      </c>
      <c r="H35" s="9">
        <v>18.463760054647629</v>
      </c>
      <c r="I35" s="9">
        <v>18.541547151660108</v>
      </c>
    </row>
    <row r="36" spans="2:9" x14ac:dyDescent="0.25">
      <c r="B36" s="6" t="s">
        <v>11</v>
      </c>
      <c r="C36" s="11">
        <v>98.62692256943923</v>
      </c>
      <c r="D36" s="11">
        <v>100.86607952446015</v>
      </c>
      <c r="E36" s="11">
        <v>110.63237480071501</v>
      </c>
      <c r="F36" s="11">
        <v>110.48508936055512</v>
      </c>
      <c r="G36" s="11">
        <v>108.22298436121831</v>
      </c>
      <c r="H36" s="11">
        <v>102.27277565893604</v>
      </c>
      <c r="I36" s="11">
        <v>98.581165437901163</v>
      </c>
    </row>
    <row r="37" spans="2:9" x14ac:dyDescent="0.25">
      <c r="B37" s="3"/>
      <c r="C37" s="13"/>
      <c r="D37" s="3"/>
      <c r="E37" s="3"/>
      <c r="F37" s="3"/>
      <c r="G37" s="3"/>
      <c r="H37" s="3"/>
      <c r="I37" s="14" t="s">
        <v>18</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P80"/>
  <sheetViews>
    <sheetView topLeftCell="E16" workbookViewId="0">
      <selection activeCell="B44" sqref="B44:F44"/>
    </sheetView>
  </sheetViews>
  <sheetFormatPr baseColWidth="10" defaultRowHeight="15" x14ac:dyDescent="0.25"/>
  <cols>
    <col min="2" max="2" width="40.7109375" customWidth="1"/>
    <col min="3" max="5" width="22.7109375" customWidth="1"/>
    <col min="6" max="16" width="13.7109375" customWidth="1"/>
    <col min="19" max="19" width="13.85546875" customWidth="1"/>
    <col min="20" max="20" width="14.5703125" customWidth="1"/>
    <col min="21" max="21" width="14.7109375" customWidth="1"/>
  </cols>
  <sheetData>
    <row r="1" spans="1:6" ht="26.25" x14ac:dyDescent="0.25">
      <c r="A1" s="206"/>
      <c r="B1" s="254" t="s">
        <v>243</v>
      </c>
      <c r="C1" s="254"/>
      <c r="D1" s="254"/>
    </row>
    <row r="3" spans="1:6" ht="15.75" thickBot="1" x14ac:dyDescent="0.3"/>
    <row r="4" spans="1:6" ht="15.75" thickBot="1" x14ac:dyDescent="0.3">
      <c r="A4" s="261" t="s">
        <v>244</v>
      </c>
      <c r="B4" s="262"/>
      <c r="C4" s="262"/>
      <c r="D4" s="263"/>
    </row>
    <row r="6" spans="1:6" ht="15.75" thickBot="1" x14ac:dyDescent="0.3"/>
    <row r="7" spans="1:6" ht="15.75" thickBot="1" x14ac:dyDescent="0.3">
      <c r="B7" s="258" t="s">
        <v>241</v>
      </c>
      <c r="C7" s="259"/>
      <c r="D7" s="260"/>
    </row>
    <row r="8" spans="1:6" ht="30.75" thickBot="1" x14ac:dyDescent="0.3">
      <c r="B8" s="227" t="s">
        <v>28</v>
      </c>
      <c r="C8" s="228" t="s">
        <v>30</v>
      </c>
      <c r="D8" s="229" t="s">
        <v>31</v>
      </c>
      <c r="E8" s="25"/>
      <c r="F8" s="25"/>
    </row>
    <row r="9" spans="1:6" x14ac:dyDescent="0.25">
      <c r="B9" s="224" t="s">
        <v>14</v>
      </c>
      <c r="C9" s="225">
        <f>'Données brutes bâtiments'!I22</f>
        <v>69.770886674483478</v>
      </c>
      <c r="D9" s="226">
        <f>C9/$C$14</f>
        <v>0.31326067938156238</v>
      </c>
      <c r="E9" s="26"/>
      <c r="F9" s="26"/>
    </row>
    <row r="10" spans="1:6" x14ac:dyDescent="0.25">
      <c r="B10" s="219" t="s">
        <v>15</v>
      </c>
      <c r="C10" s="28">
        <f>'Données brutes bâtiments'!I23</f>
        <v>25.87338264285253</v>
      </c>
      <c r="D10" s="220">
        <f t="shared" ref="D10:D13" si="0">C10/$C$14</f>
        <v>0.11616755656859523</v>
      </c>
      <c r="E10" s="26"/>
      <c r="F10" s="26"/>
    </row>
    <row r="11" spans="1:6" x14ac:dyDescent="0.25">
      <c r="B11" s="219" t="s">
        <v>16</v>
      </c>
      <c r="C11" s="28">
        <f>'Données brutes bâtiments'!I24</f>
        <v>15.171746899264669</v>
      </c>
      <c r="D11" s="220">
        <f t="shared" si="0"/>
        <v>6.8118838208873128E-2</v>
      </c>
      <c r="E11" s="26"/>
      <c r="F11" s="26"/>
    </row>
    <row r="12" spans="1:6" x14ac:dyDescent="0.25">
      <c r="B12" s="219" t="s">
        <v>26</v>
      </c>
      <c r="C12" s="28">
        <f>'Données brutes bâtiments'!I35</f>
        <v>18.541547151660108</v>
      </c>
      <c r="D12" s="220">
        <f t="shared" si="0"/>
        <v>8.3248729296119664E-2</v>
      </c>
      <c r="E12" s="26"/>
      <c r="F12" s="26"/>
    </row>
    <row r="13" spans="1:6" x14ac:dyDescent="0.25">
      <c r="B13" s="219" t="s">
        <v>27</v>
      </c>
      <c r="C13" s="28">
        <f>'Données brutes bâtiments'!I25-C12</f>
        <v>93.367123343856463</v>
      </c>
      <c r="D13" s="220">
        <f t="shared" si="0"/>
        <v>0.41920419654484969</v>
      </c>
      <c r="E13" s="26"/>
      <c r="F13" s="26"/>
    </row>
    <row r="14" spans="1:6" ht="15.75" thickBot="1" x14ac:dyDescent="0.3">
      <c r="B14" s="221" t="s">
        <v>29</v>
      </c>
      <c r="C14" s="222">
        <f>SUM(C9:C13)</f>
        <v>222.72468671211723</v>
      </c>
      <c r="D14" s="223">
        <f>SUM(D9:D13)</f>
        <v>1.0000000000000002</v>
      </c>
      <c r="E14" s="26"/>
      <c r="F14" s="26"/>
    </row>
    <row r="16" spans="1:6" ht="15.75" thickBot="1" x14ac:dyDescent="0.3"/>
    <row r="17" spans="2:16" ht="15.75" thickBot="1" x14ac:dyDescent="0.3">
      <c r="B17" s="258" t="s">
        <v>242</v>
      </c>
      <c r="C17" s="259"/>
      <c r="D17" s="259"/>
      <c r="E17" s="259"/>
      <c r="F17" s="259"/>
      <c r="G17" s="259"/>
      <c r="H17" s="259"/>
      <c r="I17" s="259"/>
      <c r="J17" s="259"/>
      <c r="K17" s="259"/>
      <c r="L17" s="259"/>
      <c r="M17" s="259"/>
      <c r="N17" s="259"/>
      <c r="O17" s="259"/>
      <c r="P17" s="260"/>
    </row>
    <row r="18" spans="2:16" ht="60.75" thickBot="1" x14ac:dyDescent="0.3">
      <c r="B18" s="241" t="s">
        <v>2</v>
      </c>
      <c r="C18" s="238" t="s">
        <v>24</v>
      </c>
      <c r="D18" s="238" t="s">
        <v>20</v>
      </c>
      <c r="E18" s="238" t="s">
        <v>25</v>
      </c>
      <c r="F18" s="238" t="s">
        <v>44</v>
      </c>
      <c r="G18" s="238" t="s">
        <v>45</v>
      </c>
      <c r="H18" s="238" t="s">
        <v>46</v>
      </c>
      <c r="I18" s="238" t="s">
        <v>47</v>
      </c>
      <c r="J18" s="238" t="s">
        <v>48</v>
      </c>
      <c r="K18" s="238" t="s">
        <v>49</v>
      </c>
      <c r="L18" s="238" t="s">
        <v>50</v>
      </c>
      <c r="M18" s="238" t="s">
        <v>51</v>
      </c>
      <c r="N18" s="238" t="s">
        <v>52</v>
      </c>
      <c r="O18" s="238" t="s">
        <v>53</v>
      </c>
      <c r="P18" s="229" t="s">
        <v>54</v>
      </c>
    </row>
    <row r="19" spans="2:16" x14ac:dyDescent="0.25">
      <c r="B19" s="224" t="s">
        <v>3</v>
      </c>
      <c r="C19" s="239">
        <v>59.387874514125301</v>
      </c>
      <c r="D19" s="240">
        <v>0.13</v>
      </c>
      <c r="E19" s="239">
        <f>C19*D19</f>
        <v>7.7204236868362894</v>
      </c>
      <c r="F19" s="239">
        <f t="shared" ref="F19:F26" si="1">$E19*$D$9</f>
        <v>2.4185051692518424</v>
      </c>
      <c r="G19" s="239">
        <f t="shared" ref="G19:G26" si="2">$E19*$D$10</f>
        <v>0.89686275537407723</v>
      </c>
      <c r="H19" s="239">
        <f t="shared" ref="H19:H26" si="3">$E19*$D$11</f>
        <v>0.52590629202755301</v>
      </c>
      <c r="I19" s="239">
        <f t="shared" ref="I19:I26" si="4">$E19*$D$13</f>
        <v>3.2364340086260328</v>
      </c>
      <c r="J19" s="239">
        <f t="shared" ref="J19:J26" si="5">$E19*$D$12</f>
        <v>0.64271546155678438</v>
      </c>
      <c r="K19" s="239">
        <f t="shared" ref="K19:K26" si="6">F19*$D$32</f>
        <v>0.54900067342016823</v>
      </c>
      <c r="L19" s="239">
        <f t="shared" ref="L19:L26" si="7">G19*$D$33</f>
        <v>0.29058353274120102</v>
      </c>
      <c r="M19" s="239">
        <f t="shared" ref="M19:M26" si="8">H19*$D$34</f>
        <v>4.140432764416177E-2</v>
      </c>
      <c r="N19" s="239">
        <f t="shared" ref="N19:N26" si="9">I19*$D$35</f>
        <v>0.18480038189254647</v>
      </c>
      <c r="O19" s="239">
        <f t="shared" ref="O19:O26" si="10">J19*$D$36</f>
        <v>9.7050034695074436E-2</v>
      </c>
      <c r="P19" s="242">
        <f>SUM(K19:O19)</f>
        <v>1.162838950393152</v>
      </c>
    </row>
    <row r="20" spans="2:16" x14ac:dyDescent="0.25">
      <c r="B20" s="219" t="s">
        <v>4</v>
      </c>
      <c r="C20" s="30">
        <v>22.992388398833878</v>
      </c>
      <c r="D20" s="29">
        <v>0</v>
      </c>
      <c r="E20" s="30">
        <f t="shared" ref="E20:E26" si="11">C20*D20</f>
        <v>0</v>
      </c>
      <c r="F20" s="30">
        <f t="shared" si="1"/>
        <v>0</v>
      </c>
      <c r="G20" s="30">
        <f t="shared" si="2"/>
        <v>0</v>
      </c>
      <c r="H20" s="30">
        <f t="shared" si="3"/>
        <v>0</v>
      </c>
      <c r="I20" s="30">
        <f t="shared" si="4"/>
        <v>0</v>
      </c>
      <c r="J20" s="30">
        <f t="shared" si="5"/>
        <v>0</v>
      </c>
      <c r="K20" s="30">
        <f t="shared" si="6"/>
        <v>0</v>
      </c>
      <c r="L20" s="30">
        <f t="shared" si="7"/>
        <v>0</v>
      </c>
      <c r="M20" s="30">
        <f t="shared" si="8"/>
        <v>0</v>
      </c>
      <c r="N20" s="30">
        <f t="shared" si="9"/>
        <v>0</v>
      </c>
      <c r="O20" s="30">
        <f t="shared" si="10"/>
        <v>0</v>
      </c>
      <c r="P20" s="243">
        <f t="shared" ref="P20:P26" si="12">SUM(K20:O20)</f>
        <v>0</v>
      </c>
    </row>
    <row r="21" spans="2:16" x14ac:dyDescent="0.25">
      <c r="B21" s="219" t="s">
        <v>5</v>
      </c>
      <c r="C21" s="30">
        <v>48.531279797785629</v>
      </c>
      <c r="D21" s="29">
        <v>0</v>
      </c>
      <c r="E21" s="30">
        <f t="shared" si="11"/>
        <v>0</v>
      </c>
      <c r="F21" s="30">
        <f t="shared" si="1"/>
        <v>0</v>
      </c>
      <c r="G21" s="30">
        <f t="shared" si="2"/>
        <v>0</v>
      </c>
      <c r="H21" s="30">
        <f t="shared" si="3"/>
        <v>0</v>
      </c>
      <c r="I21" s="30">
        <f t="shared" si="4"/>
        <v>0</v>
      </c>
      <c r="J21" s="30">
        <f t="shared" si="5"/>
        <v>0</v>
      </c>
      <c r="K21" s="30">
        <f t="shared" si="6"/>
        <v>0</v>
      </c>
      <c r="L21" s="30">
        <f t="shared" si="7"/>
        <v>0</v>
      </c>
      <c r="M21" s="30">
        <f t="shared" si="8"/>
        <v>0</v>
      </c>
      <c r="N21" s="30">
        <f t="shared" si="9"/>
        <v>0</v>
      </c>
      <c r="O21" s="30">
        <f t="shared" si="10"/>
        <v>0</v>
      </c>
      <c r="P21" s="243">
        <f t="shared" si="12"/>
        <v>0</v>
      </c>
    </row>
    <row r="22" spans="2:16" x14ac:dyDescent="0.25">
      <c r="B22" s="219" t="s">
        <v>6</v>
      </c>
      <c r="C22" s="30">
        <v>25.374936740338931</v>
      </c>
      <c r="D22" s="29">
        <v>0.72</v>
      </c>
      <c r="E22" s="30">
        <f t="shared" si="11"/>
        <v>18.269954453044029</v>
      </c>
      <c r="F22" s="30">
        <f t="shared" si="1"/>
        <v>5.7232583442307732</v>
      </c>
      <c r="G22" s="30">
        <f t="shared" si="2"/>
        <v>2.1223759674296505</v>
      </c>
      <c r="H22" s="30">
        <f t="shared" si="3"/>
        <v>1.2445280714703875</v>
      </c>
      <c r="I22" s="30">
        <f t="shared" si="4"/>
        <v>7.658841577399321</v>
      </c>
      <c r="J22" s="30">
        <f t="shared" si="5"/>
        <v>1.5209504925138984</v>
      </c>
      <c r="K22" s="30">
        <f t="shared" si="6"/>
        <v>1.2991796441403856</v>
      </c>
      <c r="L22" s="30">
        <f t="shared" si="7"/>
        <v>0.68764981344720677</v>
      </c>
      <c r="M22" s="30">
        <f t="shared" si="8"/>
        <v>9.7981044940259096E-2</v>
      </c>
      <c r="N22" s="30">
        <f t="shared" si="9"/>
        <v>0.43731985406950119</v>
      </c>
      <c r="O22" s="30">
        <f t="shared" si="10"/>
        <v>0.22966352436959864</v>
      </c>
      <c r="P22" s="243">
        <f t="shared" si="12"/>
        <v>2.7517938809669515</v>
      </c>
    </row>
    <row r="23" spans="2:16" x14ac:dyDescent="0.25">
      <c r="B23" s="219" t="s">
        <v>7</v>
      </c>
      <c r="C23" s="30">
        <v>13.186118671453057</v>
      </c>
      <c r="D23" s="29">
        <v>0.23</v>
      </c>
      <c r="E23" s="30">
        <f t="shared" si="11"/>
        <v>3.0328072944342033</v>
      </c>
      <c r="F23" s="30">
        <f t="shared" si="1"/>
        <v>0.9500592734878166</v>
      </c>
      <c r="G23" s="30">
        <f t="shared" si="2"/>
        <v>0.35231381293783354</v>
      </c>
      <c r="H23" s="30">
        <f t="shared" si="3"/>
        <v>0.20659130940825374</v>
      </c>
      <c r="I23" s="30">
        <f t="shared" si="4"/>
        <v>1.2713655451386496</v>
      </c>
      <c r="J23" s="30">
        <f t="shared" si="5"/>
        <v>0.25247735346165007</v>
      </c>
      <c r="K23" s="30">
        <f t="shared" si="6"/>
        <v>0.21566345508173437</v>
      </c>
      <c r="L23" s="30">
        <f t="shared" si="7"/>
        <v>0.11414967539185807</v>
      </c>
      <c r="M23" s="30">
        <f t="shared" si="8"/>
        <v>1.6264825868878542E-2</v>
      </c>
      <c r="N23" s="30">
        <f t="shared" si="9"/>
        <v>7.259497262741689E-2</v>
      </c>
      <c r="O23" s="30">
        <f t="shared" si="10"/>
        <v>3.812408037270916E-2</v>
      </c>
      <c r="P23" s="243">
        <f t="shared" si="12"/>
        <v>0.45679700934259704</v>
      </c>
    </row>
    <row r="24" spans="2:16" x14ac:dyDescent="0.25">
      <c r="B24" s="219" t="s">
        <v>8</v>
      </c>
      <c r="C24" s="30">
        <v>27.453679742839576</v>
      </c>
      <c r="D24" s="29">
        <v>0.41</v>
      </c>
      <c r="E24" s="30">
        <f>C24*D24</f>
        <v>11.256008694564226</v>
      </c>
      <c r="F24" s="30">
        <f t="shared" si="1"/>
        <v>3.5260649307839627</v>
      </c>
      <c r="G24" s="30">
        <f t="shared" si="2"/>
        <v>1.3075830267623896</v>
      </c>
      <c r="H24" s="30">
        <f t="shared" si="3"/>
        <v>0.7667462351426898</v>
      </c>
      <c r="I24" s="30">
        <f t="shared" si="4"/>
        <v>4.7185660811066388</v>
      </c>
      <c r="J24" s="30">
        <f t="shared" si="5"/>
        <v>0.93704842076854655</v>
      </c>
      <c r="K24" s="30">
        <f t="shared" si="6"/>
        <v>0.80041673928795953</v>
      </c>
      <c r="L24" s="30">
        <f t="shared" si="7"/>
        <v>0.42365690067101425</v>
      </c>
      <c r="M24" s="30">
        <f t="shared" si="8"/>
        <v>6.0365530553705908E-2</v>
      </c>
      <c r="N24" s="30">
        <f t="shared" si="9"/>
        <v>0.26943012323118909</v>
      </c>
      <c r="O24" s="30">
        <f t="shared" si="10"/>
        <v>0.14149431153605052</v>
      </c>
      <c r="P24" s="243">
        <f t="shared" si="12"/>
        <v>1.6953636052799193</v>
      </c>
    </row>
    <row r="25" spans="2:16" x14ac:dyDescent="0.25">
      <c r="B25" s="219" t="s">
        <v>9</v>
      </c>
      <c r="C25" s="30">
        <v>17.949258448674954</v>
      </c>
      <c r="D25" s="29">
        <v>0.49</v>
      </c>
      <c r="E25" s="30">
        <f t="shared" si="11"/>
        <v>8.7951366398507265</v>
      </c>
      <c r="F25" s="30">
        <f t="shared" si="1"/>
        <v>2.7551704790533105</v>
      </c>
      <c r="G25" s="30">
        <f t="shared" si="2"/>
        <v>1.0217095331383839</v>
      </c>
      <c r="H25" s="30">
        <f t="shared" si="3"/>
        <v>0.59911448979492365</v>
      </c>
      <c r="I25" s="30">
        <f t="shared" si="4"/>
        <v>3.6869581886107929</v>
      </c>
      <c r="J25" s="30">
        <f t="shared" si="5"/>
        <v>0.73218394925331665</v>
      </c>
      <c r="K25" s="30">
        <f t="shared" si="6"/>
        <v>0.62542369874510151</v>
      </c>
      <c r="L25" s="30">
        <f t="shared" si="7"/>
        <v>0.33103388873683637</v>
      </c>
      <c r="M25" s="30">
        <f t="shared" si="8"/>
        <v>4.7167970811298476E-2</v>
      </c>
      <c r="N25" s="30">
        <f t="shared" si="9"/>
        <v>0.21052531256967627</v>
      </c>
      <c r="O25" s="30">
        <f t="shared" si="10"/>
        <v>0.11055977633725081</v>
      </c>
      <c r="P25" s="243">
        <f t="shared" si="12"/>
        <v>1.3247106472001633</v>
      </c>
    </row>
    <row r="26" spans="2:16" x14ac:dyDescent="0.25">
      <c r="B26" s="219" t="s">
        <v>10</v>
      </c>
      <c r="C26" s="30">
        <v>7.849150398065972</v>
      </c>
      <c r="D26" s="29">
        <v>0</v>
      </c>
      <c r="E26" s="30">
        <f t="shared" si="11"/>
        <v>0</v>
      </c>
      <c r="F26" s="30">
        <f t="shared" si="1"/>
        <v>0</v>
      </c>
      <c r="G26" s="30">
        <f t="shared" si="2"/>
        <v>0</v>
      </c>
      <c r="H26" s="30">
        <f t="shared" si="3"/>
        <v>0</v>
      </c>
      <c r="I26" s="30">
        <f t="shared" si="4"/>
        <v>0</v>
      </c>
      <c r="J26" s="30">
        <f t="shared" si="5"/>
        <v>0</v>
      </c>
      <c r="K26" s="30">
        <f t="shared" si="6"/>
        <v>0</v>
      </c>
      <c r="L26" s="30">
        <f t="shared" si="7"/>
        <v>0</v>
      </c>
      <c r="M26" s="30">
        <f t="shared" si="8"/>
        <v>0</v>
      </c>
      <c r="N26" s="30">
        <f t="shared" si="9"/>
        <v>0</v>
      </c>
      <c r="O26" s="30">
        <f t="shared" si="10"/>
        <v>0</v>
      </c>
      <c r="P26" s="243">
        <f t="shared" si="12"/>
        <v>0</v>
      </c>
    </row>
    <row r="27" spans="2:16" ht="15.75" thickBot="1" x14ac:dyDescent="0.3">
      <c r="B27" s="221" t="s">
        <v>11</v>
      </c>
      <c r="C27" s="244">
        <v>222.72468671211723</v>
      </c>
      <c r="D27" s="245"/>
      <c r="E27" s="244">
        <f>SUM(E19:E26)</f>
        <v>49.074330768729475</v>
      </c>
      <c r="F27" s="244">
        <f>SUM(F19:F26)</f>
        <v>15.373058196807706</v>
      </c>
      <c r="G27" s="244">
        <f t="shared" ref="G27:J27" si="13">SUM(G19:G26)</f>
        <v>5.7008450956423342</v>
      </c>
      <c r="H27" s="244">
        <f t="shared" si="13"/>
        <v>3.3428863978438077</v>
      </c>
      <c r="I27" s="244">
        <f>SUM(I19:I26)</f>
        <v>20.572165400881435</v>
      </c>
      <c r="J27" s="244">
        <f t="shared" si="13"/>
        <v>4.0853756775541958</v>
      </c>
      <c r="K27" s="244">
        <f>SUM(K19:K26)</f>
        <v>3.4896842106753492</v>
      </c>
      <c r="L27" s="244">
        <f>SUM(L19:L26)</f>
        <v>1.8470738109881166</v>
      </c>
      <c r="M27" s="244">
        <f t="shared" ref="M27" si="14">SUM(M19:M26)</f>
        <v>0.26318369981830381</v>
      </c>
      <c r="N27" s="244">
        <f t="shared" ref="N27" si="15">SUM(N19:N26)</f>
        <v>1.1746706443903299</v>
      </c>
      <c r="O27" s="244">
        <f t="shared" ref="O27" si="16">SUM(O19:O26)</f>
        <v>0.61689172731068354</v>
      </c>
      <c r="P27" s="246">
        <f>SUM(P19:P26)</f>
        <v>7.3915040931827827</v>
      </c>
    </row>
    <row r="29" spans="2:16" ht="15.75" thickBot="1" x14ac:dyDescent="0.3"/>
    <row r="30" spans="2:16" ht="15.75" thickBot="1" x14ac:dyDescent="0.3">
      <c r="B30" s="258" t="s">
        <v>32</v>
      </c>
      <c r="C30" s="259"/>
      <c r="D30" s="259"/>
      <c r="E30" s="259"/>
      <c r="F30" s="260"/>
    </row>
    <row r="31" spans="2:16" ht="15.75" thickBot="1" x14ac:dyDescent="0.3">
      <c r="B31" s="227" t="s">
        <v>32</v>
      </c>
      <c r="C31" s="238" t="s">
        <v>39</v>
      </c>
      <c r="D31" s="238" t="s">
        <v>38</v>
      </c>
      <c r="E31" s="238" t="s">
        <v>40</v>
      </c>
      <c r="F31" s="229" t="s">
        <v>41</v>
      </c>
    </row>
    <row r="32" spans="2:16" ht="30" x14ac:dyDescent="0.25">
      <c r="B32" s="235" t="s">
        <v>37</v>
      </c>
      <c r="C32" s="236" t="s">
        <v>42</v>
      </c>
      <c r="D32" s="236">
        <v>0.22700000000000001</v>
      </c>
      <c r="E32" s="236">
        <v>0.187</v>
      </c>
      <c r="F32" s="237">
        <v>4.0000000000000008E-2</v>
      </c>
    </row>
    <row r="33" spans="1:6" x14ac:dyDescent="0.25">
      <c r="B33" s="230" t="s">
        <v>33</v>
      </c>
      <c r="C33" s="27" t="s">
        <v>42</v>
      </c>
      <c r="D33" s="27">
        <v>0.32400000000000001</v>
      </c>
      <c r="E33" s="27">
        <v>0.27200000000000002</v>
      </c>
      <c r="F33" s="186">
        <v>5.1999999999999991E-2</v>
      </c>
    </row>
    <row r="34" spans="1:6" ht="30" x14ac:dyDescent="0.25">
      <c r="B34" s="230" t="s">
        <v>56</v>
      </c>
      <c r="C34" s="27" t="s">
        <v>43</v>
      </c>
      <c r="D34" s="31">
        <f>(D37*0.802+D38*0.27)/(0.802+0.27)</f>
        <v>7.8729477611940296E-2</v>
      </c>
      <c r="E34" s="27"/>
      <c r="F34" s="186"/>
    </row>
    <row r="35" spans="1:6" ht="30" x14ac:dyDescent="0.25">
      <c r="B35" s="230" t="s">
        <v>36</v>
      </c>
      <c r="C35" s="27" t="s">
        <v>43</v>
      </c>
      <c r="D35" s="27">
        <v>5.7099999999999998E-2</v>
      </c>
      <c r="E35" s="27"/>
      <c r="F35" s="186">
        <v>5.7099999999999998E-2</v>
      </c>
    </row>
    <row r="36" spans="1:6" ht="30" x14ac:dyDescent="0.25">
      <c r="B36" s="230" t="s">
        <v>35</v>
      </c>
      <c r="C36" s="27"/>
      <c r="D36" s="27">
        <v>0.151</v>
      </c>
      <c r="E36" s="27"/>
      <c r="F36" s="186">
        <v>0.151</v>
      </c>
    </row>
    <row r="37" spans="1:6" ht="30" x14ac:dyDescent="0.25">
      <c r="B37" s="231" t="s">
        <v>55</v>
      </c>
      <c r="C37" s="27" t="s">
        <v>43</v>
      </c>
      <c r="D37" s="33">
        <v>9.5000000000000001E-2</v>
      </c>
      <c r="E37" s="27"/>
      <c r="F37" s="186"/>
    </row>
    <row r="38" spans="1:6" ht="30.75" thickBot="1" x14ac:dyDescent="0.3">
      <c r="B38" s="232" t="s">
        <v>34</v>
      </c>
      <c r="C38" s="233" t="s">
        <v>42</v>
      </c>
      <c r="D38" s="233">
        <v>3.04E-2</v>
      </c>
      <c r="E38" s="233">
        <v>1.4E-2</v>
      </c>
      <c r="F38" s="234">
        <v>1.6399999999999998E-2</v>
      </c>
    </row>
    <row r="40" spans="1:6" ht="15.75" thickBot="1" x14ac:dyDescent="0.3"/>
    <row r="41" spans="1:6" ht="15.75" thickBot="1" x14ac:dyDescent="0.3">
      <c r="A41" s="261" t="s">
        <v>245</v>
      </c>
      <c r="B41" s="262"/>
      <c r="C41" s="262"/>
      <c r="D41" s="263"/>
    </row>
    <row r="43" spans="1:6" ht="15.75" thickBot="1" x14ac:dyDescent="0.3"/>
    <row r="44" spans="1:6" ht="15.75" thickBot="1" x14ac:dyDescent="0.3">
      <c r="B44" s="267" t="s">
        <v>248</v>
      </c>
      <c r="C44" s="268"/>
      <c r="D44" s="268"/>
      <c r="E44" s="268"/>
      <c r="F44" s="269"/>
    </row>
    <row r="45" spans="1:6" ht="201.75" customHeight="1" thickBot="1" x14ac:dyDescent="0.3">
      <c r="B45" s="250" t="s">
        <v>247</v>
      </c>
      <c r="C45" s="251">
        <v>0.4</v>
      </c>
      <c r="D45" s="264" t="s">
        <v>254</v>
      </c>
      <c r="E45" s="265"/>
      <c r="F45" s="266"/>
    </row>
    <row r="47" spans="1:6" ht="15.75" thickBot="1" x14ac:dyDescent="0.3"/>
    <row r="48" spans="1:6" ht="15.75" thickBot="1" x14ac:dyDescent="0.3">
      <c r="B48" s="258" t="s">
        <v>241</v>
      </c>
      <c r="C48" s="260"/>
    </row>
    <row r="49" spans="2:15" ht="15.75" thickBot="1" x14ac:dyDescent="0.3">
      <c r="B49" s="227" t="s">
        <v>57</v>
      </c>
      <c r="C49" s="229" t="s">
        <v>31</v>
      </c>
    </row>
    <row r="50" spans="2:15" x14ac:dyDescent="0.25">
      <c r="B50" s="219" t="s">
        <v>14</v>
      </c>
      <c r="C50" s="220">
        <v>5.1299999999999998E-2</v>
      </c>
    </row>
    <row r="51" spans="2:15" x14ac:dyDescent="0.25">
      <c r="B51" s="219" t="s">
        <v>15</v>
      </c>
      <c r="C51" s="220">
        <v>0</v>
      </c>
    </row>
    <row r="52" spans="2:15" x14ac:dyDescent="0.25">
      <c r="B52" s="219" t="s">
        <v>16</v>
      </c>
      <c r="C52" s="220">
        <f>100%-SUM(C50:C51,C53:C54)</f>
        <v>0.2339</v>
      </c>
    </row>
    <row r="53" spans="2:15" x14ac:dyDescent="0.25">
      <c r="B53" s="219" t="s">
        <v>26</v>
      </c>
      <c r="C53" s="220">
        <v>0.1976</v>
      </c>
    </row>
    <row r="54" spans="2:15" x14ac:dyDescent="0.25">
      <c r="B54" s="219" t="s">
        <v>27</v>
      </c>
      <c r="C54" s="220">
        <v>0.51719999999999999</v>
      </c>
    </row>
    <row r="55" spans="2:15" ht="15.75" thickBot="1" x14ac:dyDescent="0.3">
      <c r="B55" s="221" t="s">
        <v>29</v>
      </c>
      <c r="C55" s="223">
        <f>SUM(C50:C54)</f>
        <v>1</v>
      </c>
    </row>
    <row r="57" spans="2:15" ht="15.75" thickBot="1" x14ac:dyDescent="0.3"/>
    <row r="58" spans="2:15" ht="15.75" thickBot="1" x14ac:dyDescent="0.3">
      <c r="B58" s="258" t="s">
        <v>246</v>
      </c>
      <c r="C58" s="259"/>
      <c r="D58" s="259"/>
      <c r="E58" s="259"/>
      <c r="F58" s="259"/>
      <c r="G58" s="259"/>
      <c r="H58" s="259"/>
      <c r="I58" s="259"/>
      <c r="J58" s="259"/>
      <c r="K58" s="259"/>
      <c r="L58" s="259"/>
      <c r="M58" s="259"/>
      <c r="N58" s="259"/>
      <c r="O58" s="260"/>
    </row>
    <row r="59" spans="2:15" ht="60.75" thickBot="1" x14ac:dyDescent="0.3">
      <c r="B59" s="241" t="s">
        <v>2</v>
      </c>
      <c r="C59" s="238" t="s">
        <v>58</v>
      </c>
      <c r="D59" s="238" t="s">
        <v>59</v>
      </c>
      <c r="E59" s="238" t="s">
        <v>44</v>
      </c>
      <c r="F59" s="238" t="s">
        <v>45</v>
      </c>
      <c r="G59" s="238" t="s">
        <v>46</v>
      </c>
      <c r="H59" s="238" t="s">
        <v>47</v>
      </c>
      <c r="I59" s="238" t="s">
        <v>48</v>
      </c>
      <c r="J59" s="238" t="s">
        <v>49</v>
      </c>
      <c r="K59" s="238" t="s">
        <v>50</v>
      </c>
      <c r="L59" s="238" t="s">
        <v>51</v>
      </c>
      <c r="M59" s="238" t="s">
        <v>52</v>
      </c>
      <c r="N59" s="238" t="s">
        <v>53</v>
      </c>
      <c r="O59" s="229" t="s">
        <v>54</v>
      </c>
    </row>
    <row r="60" spans="2:15" x14ac:dyDescent="0.25">
      <c r="B60" s="224" t="s">
        <v>3</v>
      </c>
      <c r="C60" s="239">
        <f>E19</f>
        <v>7.7204236868362894</v>
      </c>
      <c r="D60" s="239">
        <f>C60*$C$45</f>
        <v>3.0881694747345159</v>
      </c>
      <c r="E60" s="239">
        <f t="shared" ref="E60:E67" si="17">$D60*$C$50</f>
        <v>0.15842309405388066</v>
      </c>
      <c r="F60" s="239">
        <f t="shared" ref="F60:F67" si="18">$D60*$C$51</f>
        <v>0</v>
      </c>
      <c r="G60" s="239">
        <f t="shared" ref="G60:G67" si="19">$D60*$C$52</f>
        <v>0.72232284014040327</v>
      </c>
      <c r="H60" s="239">
        <f t="shared" ref="H60:H67" si="20">$D60*$C$54</f>
        <v>1.5972012523326915</v>
      </c>
      <c r="I60" s="239">
        <f t="shared" ref="I60:I67" si="21">$D60*$C$53</f>
        <v>0.61022228820754032</v>
      </c>
      <c r="J60" s="239">
        <f t="shared" ref="J60:J67" si="22">E60*$D$74</f>
        <v>3.5962042350230913E-2</v>
      </c>
      <c r="K60" s="239">
        <f t="shared" ref="K60:K67" si="23">F60*$D$75</f>
        <v>0</v>
      </c>
      <c r="L60" s="239">
        <f t="shared" ref="L60:L67" si="24">G60*$D$76</f>
        <v>5.320551600969551E-2</v>
      </c>
      <c r="M60" s="239">
        <f t="shared" ref="M60:M67" si="25">H60*$D$77</f>
        <v>9.1200191508196679E-2</v>
      </c>
      <c r="N60" s="239">
        <f t="shared" ref="N60:N67" si="26">I60*$D$78</f>
        <v>9.2143565519338583E-2</v>
      </c>
      <c r="O60" s="242">
        <f t="shared" ref="O60:O67" si="27">SUM(J60:N60)</f>
        <v>0.27251131538746165</v>
      </c>
    </row>
    <row r="61" spans="2:15" x14ac:dyDescent="0.25">
      <c r="B61" s="219" t="s">
        <v>4</v>
      </c>
      <c r="C61" s="30">
        <f>E20</f>
        <v>0</v>
      </c>
      <c r="D61" s="30">
        <f>C61*$C$45</f>
        <v>0</v>
      </c>
      <c r="E61" s="30">
        <f t="shared" si="17"/>
        <v>0</v>
      </c>
      <c r="F61" s="30">
        <f t="shared" si="18"/>
        <v>0</v>
      </c>
      <c r="G61" s="30">
        <f t="shared" si="19"/>
        <v>0</v>
      </c>
      <c r="H61" s="30">
        <f t="shared" si="20"/>
        <v>0</v>
      </c>
      <c r="I61" s="30">
        <f t="shared" si="21"/>
        <v>0</v>
      </c>
      <c r="J61" s="30">
        <f t="shared" si="22"/>
        <v>0</v>
      </c>
      <c r="K61" s="30">
        <f t="shared" si="23"/>
        <v>0</v>
      </c>
      <c r="L61" s="30">
        <f t="shared" si="24"/>
        <v>0</v>
      </c>
      <c r="M61" s="30">
        <f t="shared" si="25"/>
        <v>0</v>
      </c>
      <c r="N61" s="30">
        <f t="shared" si="26"/>
        <v>0</v>
      </c>
      <c r="O61" s="243">
        <f t="shared" si="27"/>
        <v>0</v>
      </c>
    </row>
    <row r="62" spans="2:15" x14ac:dyDescent="0.25">
      <c r="B62" s="219" t="s">
        <v>5</v>
      </c>
      <c r="C62" s="30">
        <f t="shared" ref="C62:C67" si="28">E21</f>
        <v>0</v>
      </c>
      <c r="D62" s="30">
        <f t="shared" ref="D62:D67" si="29">C62*$C$45</f>
        <v>0</v>
      </c>
      <c r="E62" s="30">
        <f t="shared" si="17"/>
        <v>0</v>
      </c>
      <c r="F62" s="30">
        <f t="shared" si="18"/>
        <v>0</v>
      </c>
      <c r="G62" s="30">
        <f t="shared" si="19"/>
        <v>0</v>
      </c>
      <c r="H62" s="30">
        <f t="shared" si="20"/>
        <v>0</v>
      </c>
      <c r="I62" s="30">
        <f t="shared" si="21"/>
        <v>0</v>
      </c>
      <c r="J62" s="30">
        <f t="shared" si="22"/>
        <v>0</v>
      </c>
      <c r="K62" s="30">
        <f t="shared" si="23"/>
        <v>0</v>
      </c>
      <c r="L62" s="30">
        <f t="shared" si="24"/>
        <v>0</v>
      </c>
      <c r="M62" s="30">
        <f t="shared" si="25"/>
        <v>0</v>
      </c>
      <c r="N62" s="30">
        <f t="shared" si="26"/>
        <v>0</v>
      </c>
      <c r="O62" s="243">
        <f t="shared" si="27"/>
        <v>0</v>
      </c>
    </row>
    <row r="63" spans="2:15" x14ac:dyDescent="0.25">
      <c r="B63" s="219" t="s">
        <v>6</v>
      </c>
      <c r="C63" s="30">
        <f t="shared" si="28"/>
        <v>18.269954453044029</v>
      </c>
      <c r="D63" s="30">
        <f t="shared" si="29"/>
        <v>7.3079817812176122</v>
      </c>
      <c r="E63" s="30">
        <f t="shared" si="17"/>
        <v>0.37489946537646351</v>
      </c>
      <c r="F63" s="30">
        <f t="shared" si="18"/>
        <v>0</v>
      </c>
      <c r="G63" s="30">
        <f t="shared" si="19"/>
        <v>1.7093369386267996</v>
      </c>
      <c r="H63" s="30">
        <f t="shared" si="20"/>
        <v>3.7796881772457489</v>
      </c>
      <c r="I63" s="30">
        <f t="shared" si="21"/>
        <v>1.4440571999686003</v>
      </c>
      <c r="J63" s="30">
        <f t="shared" si="22"/>
        <v>8.5102178640457216E-2</v>
      </c>
      <c r="K63" s="30">
        <f t="shared" si="23"/>
        <v>0</v>
      </c>
      <c r="L63" s="30">
        <f t="shared" si="24"/>
        <v>0.1259079026718776</v>
      </c>
      <c r="M63" s="30">
        <f t="shared" si="25"/>
        <v>0.21582019492073226</v>
      </c>
      <c r="N63" s="30">
        <f t="shared" si="26"/>
        <v>0.21805263719525864</v>
      </c>
      <c r="O63" s="243">
        <f t="shared" si="27"/>
        <v>0.64488291342832571</v>
      </c>
    </row>
    <row r="64" spans="2:15" x14ac:dyDescent="0.25">
      <c r="B64" s="219" t="s">
        <v>7</v>
      </c>
      <c r="C64" s="30">
        <f t="shared" si="28"/>
        <v>3.0328072944342033</v>
      </c>
      <c r="D64" s="30">
        <f t="shared" si="29"/>
        <v>1.2131229177736813</v>
      </c>
      <c r="E64" s="30">
        <f t="shared" si="17"/>
        <v>6.2233205681789847E-2</v>
      </c>
      <c r="F64" s="30">
        <f t="shared" si="18"/>
        <v>0</v>
      </c>
      <c r="G64" s="30">
        <f t="shared" si="19"/>
        <v>0.28374945046726407</v>
      </c>
      <c r="H64" s="30">
        <f t="shared" si="20"/>
        <v>0.62742717307254792</v>
      </c>
      <c r="I64" s="30">
        <f t="shared" si="21"/>
        <v>0.23971308855207943</v>
      </c>
      <c r="J64" s="30">
        <f t="shared" si="22"/>
        <v>1.4126937689766295E-2</v>
      </c>
      <c r="K64" s="30">
        <f t="shared" si="23"/>
        <v>0</v>
      </c>
      <c r="L64" s="30">
        <f t="shared" si="24"/>
        <v>2.0900676388197554E-2</v>
      </c>
      <c r="M64" s="30">
        <f t="shared" si="25"/>
        <v>3.5826091582442487E-2</v>
      </c>
      <c r="N64" s="30">
        <f t="shared" si="26"/>
        <v>3.6196676371363992E-2</v>
      </c>
      <c r="O64" s="243">
        <f t="shared" si="27"/>
        <v>0.10705038203177032</v>
      </c>
    </row>
    <row r="65" spans="2:15" x14ac:dyDescent="0.25">
      <c r="B65" s="219" t="s">
        <v>8</v>
      </c>
      <c r="C65" s="30">
        <f t="shared" si="28"/>
        <v>11.256008694564226</v>
      </c>
      <c r="D65" s="30">
        <f t="shared" si="29"/>
        <v>4.5024034778256903</v>
      </c>
      <c r="E65" s="30">
        <f t="shared" si="17"/>
        <v>0.23097329841245789</v>
      </c>
      <c r="F65" s="30">
        <f t="shared" si="18"/>
        <v>0</v>
      </c>
      <c r="G65" s="30">
        <f t="shared" si="19"/>
        <v>1.053112173463429</v>
      </c>
      <c r="H65" s="30">
        <f t="shared" si="20"/>
        <v>2.3286430787314472</v>
      </c>
      <c r="I65" s="30">
        <f t="shared" si="21"/>
        <v>0.88967492721835639</v>
      </c>
      <c r="J65" s="30">
        <f t="shared" si="22"/>
        <v>5.2430938739627946E-2</v>
      </c>
      <c r="K65" s="30">
        <f t="shared" si="23"/>
        <v>0</v>
      </c>
      <c r="L65" s="30">
        <f t="shared" si="24"/>
        <v>7.7571099086832795E-2</v>
      </c>
      <c r="M65" s="30">
        <f t="shared" si="25"/>
        <v>0.13296551979556562</v>
      </c>
      <c r="N65" s="30">
        <f t="shared" si="26"/>
        <v>0.13434091400997181</v>
      </c>
      <c r="O65" s="243">
        <f t="shared" si="27"/>
        <v>0.39730847163199823</v>
      </c>
    </row>
    <row r="66" spans="2:15" x14ac:dyDescent="0.25">
      <c r="B66" s="219" t="s">
        <v>9</v>
      </c>
      <c r="C66" s="30">
        <f t="shared" si="28"/>
        <v>8.7951366398507265</v>
      </c>
      <c r="D66" s="30">
        <f t="shared" si="29"/>
        <v>3.5180546559402908</v>
      </c>
      <c r="E66" s="30">
        <f t="shared" si="17"/>
        <v>0.18047620384973692</v>
      </c>
      <c r="F66" s="30">
        <f t="shared" si="18"/>
        <v>0</v>
      </c>
      <c r="G66" s="30">
        <f t="shared" si="19"/>
        <v>0.82287298402443398</v>
      </c>
      <c r="H66" s="30">
        <f t="shared" si="20"/>
        <v>1.8195378680523184</v>
      </c>
      <c r="I66" s="30">
        <f t="shared" si="21"/>
        <v>0.6951676000138014</v>
      </c>
      <c r="J66" s="30">
        <f t="shared" si="22"/>
        <v>4.096809827389028E-2</v>
      </c>
      <c r="K66" s="30">
        <f t="shared" si="23"/>
        <v>0</v>
      </c>
      <c r="L66" s="30">
        <f t="shared" si="24"/>
        <v>6.0611930417357185E-2</v>
      </c>
      <c r="M66" s="30">
        <f t="shared" si="25"/>
        <v>0.10389561226578738</v>
      </c>
      <c r="N66" s="30">
        <f t="shared" si="26"/>
        <v>0.10497030760208401</v>
      </c>
      <c r="O66" s="243">
        <f t="shared" si="27"/>
        <v>0.31044594855911889</v>
      </c>
    </row>
    <row r="67" spans="2:15" x14ac:dyDescent="0.25">
      <c r="B67" s="219" t="s">
        <v>10</v>
      </c>
      <c r="C67" s="30">
        <f t="shared" si="28"/>
        <v>0</v>
      </c>
      <c r="D67" s="30">
        <f t="shared" si="29"/>
        <v>0</v>
      </c>
      <c r="E67" s="30">
        <f t="shared" si="17"/>
        <v>0</v>
      </c>
      <c r="F67" s="30">
        <f t="shared" si="18"/>
        <v>0</v>
      </c>
      <c r="G67" s="30">
        <f t="shared" si="19"/>
        <v>0</v>
      </c>
      <c r="H67" s="30">
        <f t="shared" si="20"/>
        <v>0</v>
      </c>
      <c r="I67" s="30">
        <f t="shared" si="21"/>
        <v>0</v>
      </c>
      <c r="J67" s="30">
        <f t="shared" si="22"/>
        <v>0</v>
      </c>
      <c r="K67" s="30">
        <f t="shared" si="23"/>
        <v>0</v>
      </c>
      <c r="L67" s="30">
        <f t="shared" si="24"/>
        <v>0</v>
      </c>
      <c r="M67" s="30">
        <f t="shared" si="25"/>
        <v>0</v>
      </c>
      <c r="N67" s="30">
        <f t="shared" si="26"/>
        <v>0</v>
      </c>
      <c r="O67" s="243">
        <f t="shared" si="27"/>
        <v>0</v>
      </c>
    </row>
    <row r="68" spans="2:15" ht="15.75" thickBot="1" x14ac:dyDescent="0.3">
      <c r="B68" s="221" t="s">
        <v>11</v>
      </c>
      <c r="C68" s="244">
        <f t="shared" ref="C68:O68" si="30">SUM(C60:C67)</f>
        <v>49.074330768729475</v>
      </c>
      <c r="D68" s="244">
        <f t="shared" si="30"/>
        <v>19.629732307491789</v>
      </c>
      <c r="E68" s="244">
        <f t="shared" si="30"/>
        <v>1.0070052673743288</v>
      </c>
      <c r="F68" s="244">
        <f t="shared" si="30"/>
        <v>0</v>
      </c>
      <c r="G68" s="244">
        <f t="shared" si="30"/>
        <v>4.5913943867223299</v>
      </c>
      <c r="H68" s="244">
        <f t="shared" si="30"/>
        <v>10.152497549434754</v>
      </c>
      <c r="I68" s="244">
        <f t="shared" si="30"/>
        <v>3.8788351039603781</v>
      </c>
      <c r="J68" s="244">
        <f t="shared" si="30"/>
        <v>0.22859019569397265</v>
      </c>
      <c r="K68" s="244">
        <f t="shared" si="30"/>
        <v>0</v>
      </c>
      <c r="L68" s="244">
        <f t="shared" si="30"/>
        <v>0.33819712457396062</v>
      </c>
      <c r="M68" s="244">
        <f t="shared" si="30"/>
        <v>0.57970761007272442</v>
      </c>
      <c r="N68" s="244">
        <f t="shared" si="30"/>
        <v>0.58570410069801704</v>
      </c>
      <c r="O68" s="246">
        <f t="shared" si="30"/>
        <v>1.7321990310386748</v>
      </c>
    </row>
    <row r="69" spans="2:15" ht="45.75" thickBot="1" x14ac:dyDescent="0.3">
      <c r="N69" s="252" t="s">
        <v>239</v>
      </c>
      <c r="O69" s="253">
        <f>O68/P27</f>
        <v>0.23435000633176808</v>
      </c>
    </row>
    <row r="71" spans="2:15" ht="15.75" thickBot="1" x14ac:dyDescent="0.3"/>
    <row r="72" spans="2:15" ht="15.75" thickBot="1" x14ac:dyDescent="0.3">
      <c r="B72" s="258" t="s">
        <v>32</v>
      </c>
      <c r="C72" s="259"/>
      <c r="D72" s="259"/>
      <c r="E72" s="259"/>
      <c r="F72" s="260"/>
    </row>
    <row r="73" spans="2:15" ht="15.75" thickBot="1" x14ac:dyDescent="0.3">
      <c r="B73" s="227" t="s">
        <v>32</v>
      </c>
      <c r="C73" s="238" t="s">
        <v>39</v>
      </c>
      <c r="D73" s="238" t="s">
        <v>38</v>
      </c>
      <c r="E73" s="238" t="s">
        <v>40</v>
      </c>
      <c r="F73" s="229" t="s">
        <v>41</v>
      </c>
    </row>
    <row r="74" spans="2:15" ht="30" x14ac:dyDescent="0.25">
      <c r="B74" s="247" t="s">
        <v>37</v>
      </c>
      <c r="C74" s="248" t="s">
        <v>42</v>
      </c>
      <c r="D74" s="248">
        <v>0.22700000000000001</v>
      </c>
      <c r="E74" s="248">
        <v>0.187</v>
      </c>
      <c r="F74" s="249">
        <v>4.0000000000000008E-2</v>
      </c>
    </row>
    <row r="75" spans="2:15" x14ac:dyDescent="0.25">
      <c r="B75" s="230" t="s">
        <v>33</v>
      </c>
      <c r="C75" s="27" t="s">
        <v>42</v>
      </c>
      <c r="D75" s="27">
        <v>0.32400000000000001</v>
      </c>
      <c r="E75" s="27">
        <v>0.27200000000000002</v>
      </c>
      <c r="F75" s="186">
        <v>5.1999999999999991E-2</v>
      </c>
    </row>
    <row r="76" spans="2:15" ht="30" x14ac:dyDescent="0.25">
      <c r="B76" s="230" t="s">
        <v>56</v>
      </c>
      <c r="C76" s="27" t="s">
        <v>43</v>
      </c>
      <c r="D76" s="31">
        <f>(D79*17.79+D80*1.08)/23.39</f>
        <v>7.3658914065840089E-2</v>
      </c>
      <c r="E76" s="27"/>
      <c r="F76" s="186"/>
    </row>
    <row r="77" spans="2:15" ht="30" x14ac:dyDescent="0.25">
      <c r="B77" s="230" t="s">
        <v>36</v>
      </c>
      <c r="C77" s="27" t="s">
        <v>43</v>
      </c>
      <c r="D77" s="27">
        <v>5.7099999999999998E-2</v>
      </c>
      <c r="E77" s="27"/>
      <c r="F77" s="186">
        <v>5.7099999999999998E-2</v>
      </c>
    </row>
    <row r="78" spans="2:15" ht="30" x14ac:dyDescent="0.25">
      <c r="B78" s="230" t="s">
        <v>35</v>
      </c>
      <c r="C78" s="27" t="s">
        <v>43</v>
      </c>
      <c r="D78" s="27">
        <v>0.151</v>
      </c>
      <c r="E78" s="27"/>
      <c r="F78" s="186">
        <v>0.151</v>
      </c>
    </row>
    <row r="79" spans="2:15" ht="30" x14ac:dyDescent="0.25">
      <c r="B79" s="231" t="s">
        <v>55</v>
      </c>
      <c r="C79" s="27" t="s">
        <v>43</v>
      </c>
      <c r="D79" s="27">
        <v>9.5000000000000001E-2</v>
      </c>
      <c r="E79" s="27"/>
      <c r="F79" s="186"/>
    </row>
    <row r="80" spans="2:15" ht="30.75" thickBot="1" x14ac:dyDescent="0.3">
      <c r="B80" s="232" t="s">
        <v>34</v>
      </c>
      <c r="C80" s="233" t="s">
        <v>42</v>
      </c>
      <c r="D80" s="233">
        <v>3.04E-2</v>
      </c>
      <c r="E80" s="233">
        <v>1.4E-2</v>
      </c>
      <c r="F80" s="234">
        <v>1.6399999999999998E-2</v>
      </c>
    </row>
  </sheetData>
  <mergeCells count="11">
    <mergeCell ref="A41:D41"/>
    <mergeCell ref="B48:C48"/>
    <mergeCell ref="B72:F72"/>
    <mergeCell ref="D45:F45"/>
    <mergeCell ref="B44:F44"/>
    <mergeCell ref="B58:O58"/>
    <mergeCell ref="B7:D7"/>
    <mergeCell ref="B30:F30"/>
    <mergeCell ref="B17:P17"/>
    <mergeCell ref="B1:D1"/>
    <mergeCell ref="A4:D4"/>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4"/>
  <sheetViews>
    <sheetView topLeftCell="D7" workbookViewId="0">
      <selection activeCell="D8" sqref="D8"/>
    </sheetView>
  </sheetViews>
  <sheetFormatPr baseColWidth="10" defaultRowHeight="15" x14ac:dyDescent="0.25"/>
  <cols>
    <col min="2" max="2" width="21.42578125" customWidth="1"/>
    <col min="3" max="3" width="22.7109375" customWidth="1"/>
    <col min="4" max="4" width="92.85546875" customWidth="1"/>
  </cols>
  <sheetData>
    <row r="1" spans="1:4" ht="26.25" x14ac:dyDescent="0.25">
      <c r="A1" s="206"/>
      <c r="B1" s="254" t="s">
        <v>226</v>
      </c>
      <c r="C1" s="254"/>
      <c r="D1" s="254"/>
    </row>
    <row r="3" spans="1:4" ht="15.75" thickBot="1" x14ac:dyDescent="0.3"/>
    <row r="4" spans="1:4" ht="15.75" thickBot="1" x14ac:dyDescent="0.3">
      <c r="B4" s="270" t="s">
        <v>211</v>
      </c>
      <c r="C4" s="271"/>
      <c r="D4" s="272"/>
    </row>
    <row r="5" spans="1:4" ht="30.75" thickBot="1" x14ac:dyDescent="0.3">
      <c r="B5" s="202" t="s">
        <v>213</v>
      </c>
      <c r="C5" s="203" t="s">
        <v>212</v>
      </c>
      <c r="D5" s="204" t="s">
        <v>214</v>
      </c>
    </row>
    <row r="6" spans="1:4" ht="270.75" customHeight="1" x14ac:dyDescent="0.25">
      <c r="B6" s="216" t="s">
        <v>215</v>
      </c>
      <c r="C6" s="194" t="s">
        <v>216</v>
      </c>
      <c r="D6" s="195" t="s">
        <v>217</v>
      </c>
    </row>
    <row r="7" spans="1:4" ht="300" x14ac:dyDescent="0.25">
      <c r="B7" s="217" t="s">
        <v>218</v>
      </c>
      <c r="C7" s="187" t="s">
        <v>257</v>
      </c>
      <c r="D7" s="190" t="s">
        <v>258</v>
      </c>
    </row>
    <row r="8" spans="1:4" ht="30" x14ac:dyDescent="0.25">
      <c r="B8" s="217" t="s">
        <v>199</v>
      </c>
      <c r="C8" s="187" t="s">
        <v>200</v>
      </c>
      <c r="D8" s="191" t="s">
        <v>201</v>
      </c>
    </row>
    <row r="9" spans="1:4" ht="225" x14ac:dyDescent="0.25">
      <c r="B9" s="217" t="s">
        <v>202</v>
      </c>
      <c r="C9" s="187" t="s">
        <v>203</v>
      </c>
      <c r="D9" s="193" t="s">
        <v>219</v>
      </c>
    </row>
    <row r="10" spans="1:4" ht="30" x14ac:dyDescent="0.25">
      <c r="B10" s="217" t="s">
        <v>204</v>
      </c>
      <c r="C10" s="187" t="s">
        <v>205</v>
      </c>
      <c r="D10" s="196" t="s">
        <v>220</v>
      </c>
    </row>
    <row r="11" spans="1:4" ht="165" x14ac:dyDescent="0.25">
      <c r="B11" s="217" t="s">
        <v>206</v>
      </c>
      <c r="C11" s="188" t="s">
        <v>256</v>
      </c>
      <c r="D11" s="197" t="s">
        <v>221</v>
      </c>
    </row>
    <row r="12" spans="1:4" ht="60.75" thickBot="1" x14ac:dyDescent="0.3">
      <c r="B12" s="218" t="s">
        <v>207</v>
      </c>
      <c r="C12" s="189" t="s">
        <v>208</v>
      </c>
      <c r="D12" s="192" t="s">
        <v>209</v>
      </c>
    </row>
    <row r="14" spans="1:4" ht="15.75" thickBot="1" x14ac:dyDescent="0.3"/>
    <row r="15" spans="1:4" ht="15.75" thickBot="1" x14ac:dyDescent="0.3">
      <c r="B15" s="273" t="s">
        <v>231</v>
      </c>
      <c r="C15" s="274"/>
      <c r="D15" s="275"/>
    </row>
    <row r="16" spans="1:4" ht="30" x14ac:dyDescent="0.25">
      <c r="B16" s="212" t="s">
        <v>222</v>
      </c>
      <c r="C16" s="208">
        <f>54.75+450+220+155+69+64+915+187</f>
        <v>2114.75</v>
      </c>
      <c r="D16" s="209"/>
    </row>
    <row r="17" spans="2:4" x14ac:dyDescent="0.25">
      <c r="B17" s="276">
        <v>2020</v>
      </c>
      <c r="C17" s="277"/>
      <c r="D17" s="278"/>
    </row>
    <row r="18" spans="2:4" ht="30" x14ac:dyDescent="0.25">
      <c r="B18" s="213" t="s">
        <v>228</v>
      </c>
      <c r="C18" s="198">
        <v>2.04</v>
      </c>
      <c r="D18" s="199" t="s">
        <v>223</v>
      </c>
    </row>
    <row r="19" spans="2:4" ht="30" x14ac:dyDescent="0.25">
      <c r="B19" s="214" t="s">
        <v>229</v>
      </c>
      <c r="C19" s="205">
        <f>C18*C16/1000</f>
        <v>4.3140900000000002</v>
      </c>
      <c r="D19" s="199"/>
    </row>
    <row r="20" spans="2:4" x14ac:dyDescent="0.25">
      <c r="B20" s="276">
        <v>2050</v>
      </c>
      <c r="C20" s="277"/>
      <c r="D20" s="278"/>
    </row>
    <row r="21" spans="2:4" ht="45" x14ac:dyDescent="0.25">
      <c r="B21" s="213" t="s">
        <v>224</v>
      </c>
      <c r="C21" s="201">
        <v>0.4</v>
      </c>
      <c r="D21" s="199" t="s">
        <v>225</v>
      </c>
    </row>
    <row r="22" spans="2:4" ht="60" x14ac:dyDescent="0.25">
      <c r="B22" s="213" t="s">
        <v>210</v>
      </c>
      <c r="C22" s="201">
        <v>0.1</v>
      </c>
      <c r="D22" s="199" t="s">
        <v>255</v>
      </c>
    </row>
    <row r="23" spans="2:4" ht="30" x14ac:dyDescent="0.25">
      <c r="B23" s="214" t="s">
        <v>229</v>
      </c>
      <c r="C23" s="205">
        <f>(1-C21-C22)*C19</f>
        <v>2.1570450000000001</v>
      </c>
      <c r="D23" s="199"/>
    </row>
    <row r="24" spans="2:4" ht="30.75" thickBot="1" x14ac:dyDescent="0.3">
      <c r="B24" s="215" t="s">
        <v>239</v>
      </c>
      <c r="C24" s="210">
        <f>C23/C19</f>
        <v>0.5</v>
      </c>
      <c r="D24" s="200"/>
    </row>
  </sheetData>
  <mergeCells count="5">
    <mergeCell ref="B4:D4"/>
    <mergeCell ref="B15:D15"/>
    <mergeCell ref="B1:D1"/>
    <mergeCell ref="B17:D17"/>
    <mergeCell ref="B20:D2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D12"/>
  <sheetViews>
    <sheetView workbookViewId="0">
      <selection activeCell="A3" sqref="A1:XFD3"/>
    </sheetView>
  </sheetViews>
  <sheetFormatPr baseColWidth="10" defaultColWidth="8.7109375" defaultRowHeight="15" x14ac:dyDescent="0.25"/>
  <cols>
    <col min="1" max="1" width="11.5703125" customWidth="1"/>
    <col min="2" max="3" width="21.7109375" customWidth="1"/>
    <col min="4" max="4" width="92.7109375" customWidth="1"/>
  </cols>
  <sheetData>
    <row r="1" spans="1:4" ht="26.25" x14ac:dyDescent="0.25">
      <c r="A1" s="206"/>
      <c r="B1" s="254" t="s">
        <v>227</v>
      </c>
      <c r="C1" s="254"/>
      <c r="D1" s="254"/>
    </row>
    <row r="3" spans="1:4" ht="15.75" thickBot="1" x14ac:dyDescent="0.3"/>
    <row r="4" spans="1:4" ht="15.75" thickBot="1" x14ac:dyDescent="0.3">
      <c r="B4" s="273" t="s">
        <v>230</v>
      </c>
      <c r="C4" s="274"/>
      <c r="D4" s="275"/>
    </row>
    <row r="5" spans="1:4" ht="28.9" customHeight="1" x14ac:dyDescent="0.25">
      <c r="B5" s="212" t="s">
        <v>240</v>
      </c>
      <c r="C5" s="211">
        <v>5.9</v>
      </c>
      <c r="D5" s="209" t="s">
        <v>232</v>
      </c>
    </row>
    <row r="6" spans="1:4" x14ac:dyDescent="0.25">
      <c r="B6" s="276">
        <v>2020</v>
      </c>
      <c r="C6" s="277"/>
      <c r="D6" s="278"/>
    </row>
    <row r="7" spans="1:4" ht="45" x14ac:dyDescent="0.25">
      <c r="B7" s="213" t="s">
        <v>234</v>
      </c>
      <c r="C7" s="198">
        <v>0.84599999999999997</v>
      </c>
      <c r="D7" s="199" t="s">
        <v>233</v>
      </c>
    </row>
    <row r="8" spans="1:4" ht="30" x14ac:dyDescent="0.25">
      <c r="B8" s="214" t="s">
        <v>235</v>
      </c>
      <c r="C8" s="205">
        <f>$C$5*C7</f>
        <v>4.9914000000000005</v>
      </c>
      <c r="D8" s="199" t="s">
        <v>236</v>
      </c>
    </row>
    <row r="9" spans="1:4" x14ac:dyDescent="0.25">
      <c r="B9" s="276">
        <v>2050</v>
      </c>
      <c r="C9" s="277"/>
      <c r="D9" s="278"/>
    </row>
    <row r="10" spans="1:4" ht="75" x14ac:dyDescent="0.25">
      <c r="B10" s="213" t="s">
        <v>237</v>
      </c>
      <c r="C10" s="207">
        <v>0.98529999999999995</v>
      </c>
      <c r="D10" s="199" t="s">
        <v>238</v>
      </c>
    </row>
    <row r="11" spans="1:4" ht="30" x14ac:dyDescent="0.25">
      <c r="B11" s="214" t="s">
        <v>235</v>
      </c>
      <c r="C11" s="205">
        <f>$C$5*C7*(1-C10)</f>
        <v>7.3373580000000244E-2</v>
      </c>
      <c r="D11" s="199"/>
    </row>
    <row r="12" spans="1:4" ht="30.75" thickBot="1" x14ac:dyDescent="0.3">
      <c r="B12" s="215" t="s">
        <v>239</v>
      </c>
      <c r="C12" s="210">
        <f>C11/C8</f>
        <v>1.4700000000000048E-2</v>
      </c>
      <c r="D12" s="200"/>
    </row>
  </sheetData>
  <mergeCells count="4">
    <mergeCell ref="B1:D1"/>
    <mergeCell ref="B4:D4"/>
    <mergeCell ref="B6:D6"/>
    <mergeCell ref="B9:D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87"/>
  <sheetViews>
    <sheetView workbookViewId="0">
      <selection sqref="A1:XFD3"/>
    </sheetView>
  </sheetViews>
  <sheetFormatPr baseColWidth="10" defaultRowHeight="15" x14ac:dyDescent="0.25"/>
  <cols>
    <col min="1" max="1" width="23.5703125" customWidth="1"/>
    <col min="2" max="2" width="17.5703125" customWidth="1"/>
    <col min="3" max="3" width="17.85546875" customWidth="1"/>
    <col min="4" max="4" width="16.5703125" customWidth="1"/>
    <col min="7" max="7" width="16" customWidth="1"/>
  </cols>
  <sheetData>
    <row r="1" spans="1:4" ht="26.25" x14ac:dyDescent="0.25">
      <c r="A1" s="206"/>
      <c r="B1" s="254" t="s">
        <v>251</v>
      </c>
      <c r="C1" s="254"/>
      <c r="D1" s="254"/>
    </row>
    <row r="5" spans="1:4" x14ac:dyDescent="0.25">
      <c r="A5" s="94" t="s">
        <v>118</v>
      </c>
    </row>
    <row r="6" spans="1:4" x14ac:dyDescent="0.25">
      <c r="A6" t="s">
        <v>119</v>
      </c>
    </row>
    <row r="7" spans="1:4" x14ac:dyDescent="0.25">
      <c r="A7" s="95" t="s">
        <v>129</v>
      </c>
    </row>
    <row r="8" spans="1:4" x14ac:dyDescent="0.25">
      <c r="A8" t="s">
        <v>120</v>
      </c>
    </row>
    <row r="9" spans="1:4" x14ac:dyDescent="0.25">
      <c r="A9" t="s">
        <v>130</v>
      </c>
    </row>
    <row r="10" spans="1:4" x14ac:dyDescent="0.25">
      <c r="A10" t="s">
        <v>131</v>
      </c>
    </row>
    <row r="12" spans="1:4" ht="15.75" thickBot="1" x14ac:dyDescent="0.3">
      <c r="A12" t="s">
        <v>121</v>
      </c>
    </row>
    <row r="13" spans="1:4" ht="60.75" thickBot="1" x14ac:dyDescent="0.3">
      <c r="A13" s="96"/>
      <c r="B13" s="97" t="s">
        <v>122</v>
      </c>
      <c r="C13" s="97" t="s">
        <v>123</v>
      </c>
    </row>
    <row r="14" spans="1:4" ht="30.75" thickBot="1" x14ac:dyDescent="0.3">
      <c r="A14" s="98" t="s">
        <v>124</v>
      </c>
      <c r="B14" s="99">
        <v>3.4</v>
      </c>
      <c r="C14" s="99">
        <v>0.9</v>
      </c>
    </row>
    <row r="15" spans="1:4" ht="15.75" thickBot="1" x14ac:dyDescent="0.3">
      <c r="A15" s="98" t="s">
        <v>125</v>
      </c>
      <c r="B15" s="100">
        <v>0.39</v>
      </c>
      <c r="C15" s="100">
        <v>0.42</v>
      </c>
    </row>
    <row r="16" spans="1:4" x14ac:dyDescent="0.25">
      <c r="A16" s="108" t="s">
        <v>126</v>
      </c>
      <c r="B16" s="109">
        <v>0.48</v>
      </c>
      <c r="C16" s="109">
        <v>0.31</v>
      </c>
    </row>
    <row r="17" spans="1:10" x14ac:dyDescent="0.25">
      <c r="A17" s="107" t="s">
        <v>127</v>
      </c>
      <c r="B17" s="110">
        <v>0.13</v>
      </c>
      <c r="C17" s="110">
        <v>0.27</v>
      </c>
    </row>
    <row r="18" spans="1:10" x14ac:dyDescent="0.25">
      <c r="A18" s="111" t="s">
        <v>61</v>
      </c>
      <c r="B18" s="112">
        <v>1</v>
      </c>
      <c r="C18" s="112">
        <v>1</v>
      </c>
    </row>
    <row r="19" spans="1:10" s="106" customFormat="1" x14ac:dyDescent="0.25">
      <c r="A19" s="104"/>
      <c r="B19" s="105"/>
      <c r="C19" s="105"/>
    </row>
    <row r="20" spans="1:10" s="106" customFormat="1" x14ac:dyDescent="0.25">
      <c r="A20" s="104"/>
      <c r="B20" s="105"/>
      <c r="C20" s="105"/>
    </row>
    <row r="21" spans="1:10" s="106" customFormat="1" x14ac:dyDescent="0.25">
      <c r="A21" s="104"/>
      <c r="B21" s="105"/>
      <c r="C21" s="105"/>
    </row>
    <row r="22" spans="1:10" ht="60" x14ac:dyDescent="0.25">
      <c r="A22" s="107"/>
      <c r="B22" s="107" t="s">
        <v>122</v>
      </c>
      <c r="C22" s="107" t="s">
        <v>123</v>
      </c>
    </row>
    <row r="23" spans="1:10" ht="15.75" thickBot="1" x14ac:dyDescent="0.3">
      <c r="A23" s="98" t="s">
        <v>91</v>
      </c>
      <c r="B23" s="100">
        <v>0.21</v>
      </c>
      <c r="C23" s="100">
        <v>0.19</v>
      </c>
    </row>
    <row r="24" spans="1:10" ht="15.75" thickBot="1" x14ac:dyDescent="0.3">
      <c r="A24" s="98" t="s">
        <v>90</v>
      </c>
      <c r="B24" s="100">
        <v>0.68</v>
      </c>
      <c r="C24" s="100">
        <v>0.69</v>
      </c>
    </row>
    <row r="25" spans="1:10" ht="15.75" thickBot="1" x14ac:dyDescent="0.3">
      <c r="A25" s="98" t="s">
        <v>128</v>
      </c>
      <c r="B25" s="100">
        <v>0.11</v>
      </c>
      <c r="C25" s="103">
        <v>0.12</v>
      </c>
      <c r="D25" s="285" t="s">
        <v>132</v>
      </c>
      <c r="E25" s="285"/>
      <c r="F25" s="285"/>
      <c r="G25" s="285"/>
    </row>
    <row r="26" spans="1:10" ht="15.75" thickBot="1" x14ac:dyDescent="0.3">
      <c r="A26" s="101" t="s">
        <v>61</v>
      </c>
      <c r="B26" s="102">
        <v>1</v>
      </c>
      <c r="C26" s="102">
        <v>1</v>
      </c>
    </row>
    <row r="28" spans="1:10" ht="15" customHeight="1" x14ac:dyDescent="0.25">
      <c r="A28" s="286" t="s">
        <v>134</v>
      </c>
      <c r="B28" s="287"/>
      <c r="C28" s="287"/>
      <c r="D28" s="287"/>
      <c r="E28" s="287"/>
      <c r="F28" s="287"/>
      <c r="G28" s="287"/>
      <c r="H28" s="287"/>
      <c r="I28" s="287"/>
      <c r="J28" s="287"/>
    </row>
    <row r="29" spans="1:10" x14ac:dyDescent="0.25">
      <c r="A29" s="115" t="s">
        <v>138</v>
      </c>
      <c r="B29" s="116" t="s">
        <v>140</v>
      </c>
      <c r="C29" s="115" t="s">
        <v>141</v>
      </c>
    </row>
    <row r="30" spans="1:10" x14ac:dyDescent="0.25">
      <c r="A30" s="115" t="s">
        <v>137</v>
      </c>
      <c r="B30" s="116"/>
      <c r="C30" s="115"/>
    </row>
    <row r="31" spans="1:10" x14ac:dyDescent="0.25">
      <c r="A31" s="115" t="s">
        <v>91</v>
      </c>
      <c r="B31" s="117">
        <v>0.21</v>
      </c>
      <c r="C31" s="118">
        <v>0.24137931034482757</v>
      </c>
    </row>
    <row r="32" spans="1:10" x14ac:dyDescent="0.25">
      <c r="A32" s="115" t="s">
        <v>90</v>
      </c>
      <c r="B32" s="117">
        <v>0.68</v>
      </c>
      <c r="C32" s="118">
        <v>0.63218390804597691</v>
      </c>
    </row>
    <row r="33" spans="1:4" x14ac:dyDescent="0.25">
      <c r="A33" s="115" t="s">
        <v>89</v>
      </c>
      <c r="B33" s="117">
        <v>0.11</v>
      </c>
      <c r="C33" s="118">
        <v>0.12643678160919539</v>
      </c>
    </row>
    <row r="34" spans="1:4" x14ac:dyDescent="0.25">
      <c r="A34" s="115" t="s">
        <v>139</v>
      </c>
      <c r="B34" s="116"/>
      <c r="C34" s="115"/>
    </row>
    <row r="35" spans="1:4" x14ac:dyDescent="0.25">
      <c r="A35" s="115" t="s">
        <v>137</v>
      </c>
      <c r="B35" s="116"/>
      <c r="C35" s="115"/>
    </row>
    <row r="36" spans="1:4" ht="15.75" thickBot="1" x14ac:dyDescent="0.3">
      <c r="A36" s="115" t="s">
        <v>91</v>
      </c>
      <c r="B36" s="119">
        <v>0.19</v>
      </c>
      <c r="C36" s="118">
        <v>0.26027397260273971</v>
      </c>
    </row>
    <row r="37" spans="1:4" ht="15.75" thickBot="1" x14ac:dyDescent="0.3">
      <c r="A37" s="115" t="s">
        <v>90</v>
      </c>
      <c r="B37" s="119">
        <v>0.69</v>
      </c>
      <c r="C37" s="118">
        <v>0.57534246575342463</v>
      </c>
    </row>
    <row r="38" spans="1:4" ht="15.75" thickBot="1" x14ac:dyDescent="0.3">
      <c r="A38" s="115" t="s">
        <v>89</v>
      </c>
      <c r="B38" s="119">
        <v>0.12</v>
      </c>
      <c r="C38" s="118">
        <v>0.16438356164383561</v>
      </c>
    </row>
    <row r="40" spans="1:4" x14ac:dyDescent="0.25">
      <c r="A40" s="32" t="s">
        <v>133</v>
      </c>
    </row>
    <row r="41" spans="1:4" x14ac:dyDescent="0.25">
      <c r="A41" t="s">
        <v>135</v>
      </c>
    </row>
    <row r="42" spans="1:4" x14ac:dyDescent="0.25">
      <c r="A42" t="s">
        <v>136</v>
      </c>
    </row>
    <row r="44" spans="1:4" x14ac:dyDescent="0.25">
      <c r="A44" s="120" t="s">
        <v>142</v>
      </c>
      <c r="B44" s="121">
        <f>60318*B14</f>
        <v>205081.19999999998</v>
      </c>
    </row>
    <row r="45" spans="1:4" x14ac:dyDescent="0.25">
      <c r="A45" s="284" t="s">
        <v>125</v>
      </c>
      <c r="B45" s="284">
        <v>79981.667999999991</v>
      </c>
      <c r="C45" s="27" t="s">
        <v>91</v>
      </c>
      <c r="D45" s="27">
        <f>$B$45*C31</f>
        <v>19305.91986206896</v>
      </c>
    </row>
    <row r="46" spans="1:4" x14ac:dyDescent="0.25">
      <c r="A46" s="284"/>
      <c r="B46" s="284"/>
      <c r="C46" s="27" t="s">
        <v>90</v>
      </c>
      <c r="D46" s="27">
        <f t="shared" ref="D46:D47" si="0">$B$45*C32</f>
        <v>50563.123448275845</v>
      </c>
    </row>
    <row r="47" spans="1:4" x14ac:dyDescent="0.25">
      <c r="A47" s="284"/>
      <c r="B47" s="284"/>
      <c r="C47" s="27" t="s">
        <v>89</v>
      </c>
      <c r="D47" s="27">
        <f t="shared" si="0"/>
        <v>10112.624689655169</v>
      </c>
    </row>
    <row r="48" spans="1:4" x14ac:dyDescent="0.25">
      <c r="A48" s="284" t="s">
        <v>126</v>
      </c>
      <c r="B48" s="284">
        <v>98438.975999999995</v>
      </c>
      <c r="C48" s="27" t="s">
        <v>91</v>
      </c>
      <c r="D48" s="27">
        <f>C31*$B$48</f>
        <v>23761.132137931032</v>
      </c>
    </row>
    <row r="49" spans="1:4" x14ac:dyDescent="0.25">
      <c r="A49" s="284"/>
      <c r="B49" s="284"/>
      <c r="C49" s="27" t="s">
        <v>90</v>
      </c>
      <c r="D49" s="27">
        <f t="shared" ref="D49:D50" si="1">C32*$B$48</f>
        <v>62231.536551724123</v>
      </c>
    </row>
    <row r="50" spans="1:4" x14ac:dyDescent="0.25">
      <c r="A50" s="284"/>
      <c r="B50" s="284"/>
      <c r="C50" s="27" t="s">
        <v>89</v>
      </c>
      <c r="D50" s="27">
        <f t="shared" si="1"/>
        <v>12446.307310344826</v>
      </c>
    </row>
    <row r="51" spans="1:4" x14ac:dyDescent="0.25">
      <c r="A51" s="284" t="s">
        <v>127</v>
      </c>
      <c r="B51" s="284">
        <v>26660.555999999997</v>
      </c>
      <c r="C51" s="27" t="s">
        <v>91</v>
      </c>
      <c r="D51" s="27">
        <v>0</v>
      </c>
    </row>
    <row r="52" spans="1:4" x14ac:dyDescent="0.25">
      <c r="A52" s="284"/>
      <c r="B52" s="284"/>
      <c r="C52" s="27" t="s">
        <v>90</v>
      </c>
      <c r="D52" s="27">
        <v>26660.555999999997</v>
      </c>
    </row>
    <row r="53" spans="1:4" x14ac:dyDescent="0.25">
      <c r="A53" s="284"/>
      <c r="B53" s="284"/>
      <c r="C53" s="27" t="s">
        <v>89</v>
      </c>
      <c r="D53" s="27">
        <v>0</v>
      </c>
    </row>
    <row r="54" spans="1:4" x14ac:dyDescent="0.25">
      <c r="A54" s="123"/>
      <c r="B54" s="123"/>
    </row>
    <row r="55" spans="1:4" x14ac:dyDescent="0.25">
      <c r="A55" s="120" t="s">
        <v>143</v>
      </c>
      <c r="B55" s="124">
        <f>66000*C14</f>
        <v>59400</v>
      </c>
    </row>
    <row r="56" spans="1:4" x14ac:dyDescent="0.25">
      <c r="A56" s="284" t="s">
        <v>125</v>
      </c>
      <c r="B56" s="284">
        <v>24948</v>
      </c>
      <c r="C56" s="27" t="s">
        <v>91</v>
      </c>
      <c r="D56" s="27">
        <f>$B$56*C36</f>
        <v>6493.3150684931506</v>
      </c>
    </row>
    <row r="57" spans="1:4" x14ac:dyDescent="0.25">
      <c r="A57" s="284"/>
      <c r="B57" s="284"/>
      <c r="C57" s="27" t="s">
        <v>90</v>
      </c>
      <c r="D57" s="27">
        <f t="shared" ref="D57:D58" si="2">$B$56*C37</f>
        <v>14353.643835616438</v>
      </c>
    </row>
    <row r="58" spans="1:4" x14ac:dyDescent="0.25">
      <c r="A58" s="284"/>
      <c r="B58" s="284"/>
      <c r="C58" s="27" t="s">
        <v>89</v>
      </c>
      <c r="D58" s="27">
        <f t="shared" si="2"/>
        <v>4101.0410958904104</v>
      </c>
    </row>
    <row r="59" spans="1:4" x14ac:dyDescent="0.25">
      <c r="A59" s="284" t="s">
        <v>126</v>
      </c>
      <c r="B59" s="284">
        <v>18414</v>
      </c>
      <c r="C59" s="27" t="s">
        <v>91</v>
      </c>
      <c r="D59" s="27">
        <f>C36*$B$59</f>
        <v>4792.6849315068494</v>
      </c>
    </row>
    <row r="60" spans="1:4" x14ac:dyDescent="0.25">
      <c r="A60" s="284"/>
      <c r="B60" s="284"/>
      <c r="C60" s="27" t="s">
        <v>90</v>
      </c>
      <c r="D60" s="27">
        <f t="shared" ref="D60:D61" si="3">C37*$B$59</f>
        <v>10594.356164383562</v>
      </c>
    </row>
    <row r="61" spans="1:4" x14ac:dyDescent="0.25">
      <c r="A61" s="284"/>
      <c r="B61" s="284"/>
      <c r="C61" s="27" t="s">
        <v>89</v>
      </c>
      <c r="D61" s="27">
        <f t="shared" si="3"/>
        <v>3026.9589041095887</v>
      </c>
    </row>
    <row r="62" spans="1:4" x14ac:dyDescent="0.25">
      <c r="A62" s="284" t="s">
        <v>127</v>
      </c>
      <c r="B62" s="284">
        <v>16038.000000000002</v>
      </c>
      <c r="C62" s="27" t="s">
        <v>91</v>
      </c>
      <c r="D62" s="27">
        <v>0</v>
      </c>
    </row>
    <row r="63" spans="1:4" x14ac:dyDescent="0.25">
      <c r="A63" s="284"/>
      <c r="B63" s="284"/>
      <c r="C63" s="27" t="s">
        <v>90</v>
      </c>
      <c r="D63" s="27">
        <f>B62</f>
        <v>16038.000000000002</v>
      </c>
    </row>
    <row r="64" spans="1:4" x14ac:dyDescent="0.25">
      <c r="A64" s="284"/>
      <c r="B64" s="284"/>
      <c r="C64" s="27" t="s">
        <v>89</v>
      </c>
      <c r="D64" s="27">
        <v>0</v>
      </c>
    </row>
    <row r="66" spans="1:8" x14ac:dyDescent="0.25">
      <c r="A66" s="125" t="s">
        <v>146</v>
      </c>
      <c r="B66" s="126">
        <f>SUM(B67,B70,B73)</f>
        <v>264481.19999999995</v>
      </c>
      <c r="C66" s="113"/>
      <c r="D66" s="113"/>
      <c r="E66" s="127"/>
    </row>
    <row r="67" spans="1:8" x14ac:dyDescent="0.25">
      <c r="A67" s="280" t="s">
        <v>125</v>
      </c>
      <c r="B67" s="281">
        <f>B45+B56</f>
        <v>104929.66799999999</v>
      </c>
      <c r="C67" s="72" t="s">
        <v>91</v>
      </c>
      <c r="D67" s="128">
        <f>D45+D56</f>
        <v>25799.23493056211</v>
      </c>
      <c r="E67" s="129"/>
      <c r="F67" s="36"/>
      <c r="G67" s="36"/>
    </row>
    <row r="68" spans="1:8" x14ac:dyDescent="0.25">
      <c r="A68" s="280"/>
      <c r="B68" s="282"/>
      <c r="C68" s="72" t="s">
        <v>90</v>
      </c>
      <c r="D68" s="128">
        <f t="shared" ref="D68:D75" si="4">D46+D57</f>
        <v>64916.767283892281</v>
      </c>
      <c r="E68" s="129"/>
      <c r="F68" s="72" t="s">
        <v>147</v>
      </c>
      <c r="G68" s="72"/>
    </row>
    <row r="69" spans="1:8" ht="15.75" thickBot="1" x14ac:dyDescent="0.3">
      <c r="A69" s="280"/>
      <c r="B69" s="283"/>
      <c r="C69" s="72" t="s">
        <v>89</v>
      </c>
      <c r="D69" s="128">
        <f t="shared" si="4"/>
        <v>14213.66578554558</v>
      </c>
      <c r="E69" s="129"/>
      <c r="F69" s="72" t="s">
        <v>91</v>
      </c>
      <c r="G69" s="114">
        <f>(D67+D70)/($B$66-$B$73)</f>
        <v>0.24507351440899949</v>
      </c>
    </row>
    <row r="70" spans="1:8" ht="15.75" thickBot="1" x14ac:dyDescent="0.3">
      <c r="A70" s="280" t="s">
        <v>126</v>
      </c>
      <c r="B70" s="281">
        <f>B48+B59</f>
        <v>116852.976</v>
      </c>
      <c r="C70" s="72" t="s">
        <v>91</v>
      </c>
      <c r="D70" s="128">
        <f t="shared" si="4"/>
        <v>28553.817069437882</v>
      </c>
      <c r="E70" s="129"/>
      <c r="F70" s="72" t="s">
        <v>90</v>
      </c>
      <c r="G70" s="114">
        <f t="shared" ref="G70:G71" si="5">(D68+D71)/($B$66-$B$73)</f>
        <v>0.62107051081959319</v>
      </c>
    </row>
    <row r="71" spans="1:8" ht="15.75" thickBot="1" x14ac:dyDescent="0.3">
      <c r="A71" s="280"/>
      <c r="B71" s="282"/>
      <c r="C71" s="72" t="s">
        <v>90</v>
      </c>
      <c r="D71" s="128">
        <f t="shared" si="4"/>
        <v>72825.892716107686</v>
      </c>
      <c r="E71" s="129"/>
      <c r="F71" s="72" t="s">
        <v>89</v>
      </c>
      <c r="G71" s="114">
        <f t="shared" si="5"/>
        <v>0.13385597477140726</v>
      </c>
    </row>
    <row r="72" spans="1:8" x14ac:dyDescent="0.25">
      <c r="A72" s="280"/>
      <c r="B72" s="283"/>
      <c r="C72" s="72" t="s">
        <v>89</v>
      </c>
      <c r="D72" s="128">
        <f t="shared" si="4"/>
        <v>15473.266214454416</v>
      </c>
      <c r="E72" s="129"/>
      <c r="F72" s="36"/>
      <c r="G72" s="36"/>
    </row>
    <row r="73" spans="1:8" x14ac:dyDescent="0.25">
      <c r="A73" s="280" t="s">
        <v>127</v>
      </c>
      <c r="B73" s="281">
        <f>B51+B62</f>
        <v>42698.555999999997</v>
      </c>
      <c r="C73" s="72" t="s">
        <v>91</v>
      </c>
      <c r="D73" s="128">
        <f t="shared" si="4"/>
        <v>0</v>
      </c>
      <c r="E73" s="129"/>
      <c r="F73" s="36"/>
      <c r="G73" s="36"/>
    </row>
    <row r="74" spans="1:8" x14ac:dyDescent="0.25">
      <c r="A74" s="280"/>
      <c r="B74" s="282"/>
      <c r="C74" s="72" t="s">
        <v>90</v>
      </c>
      <c r="D74" s="128">
        <f t="shared" si="4"/>
        <v>42698.555999999997</v>
      </c>
      <c r="E74" s="129"/>
      <c r="F74" s="36"/>
      <c r="G74" s="36"/>
    </row>
    <row r="75" spans="1:8" x14ac:dyDescent="0.25">
      <c r="A75" s="280"/>
      <c r="B75" s="283"/>
      <c r="C75" s="72" t="s">
        <v>89</v>
      </c>
      <c r="D75" s="128">
        <f t="shared" si="4"/>
        <v>0</v>
      </c>
      <c r="E75" s="129"/>
      <c r="F75" s="36"/>
      <c r="G75" s="36"/>
    </row>
    <row r="77" spans="1:8" x14ac:dyDescent="0.25">
      <c r="A77" s="32" t="s">
        <v>144</v>
      </c>
    </row>
    <row r="78" spans="1:8" ht="47.25" customHeight="1" x14ac:dyDescent="0.25">
      <c r="A78" s="279" t="s">
        <v>145</v>
      </c>
      <c r="B78" s="279"/>
      <c r="C78" s="279"/>
      <c r="D78" s="279"/>
      <c r="E78" s="279"/>
      <c r="F78" s="279"/>
      <c r="G78" s="279"/>
      <c r="H78" s="279"/>
    </row>
    <row r="79" spans="1:8" x14ac:dyDescent="0.25">
      <c r="A79" t="s">
        <v>151</v>
      </c>
    </row>
    <row r="80" spans="1:8" x14ac:dyDescent="0.25">
      <c r="A80" s="113" t="s">
        <v>148</v>
      </c>
    </row>
    <row r="81" spans="1:5" x14ac:dyDescent="0.25">
      <c r="A81" s="113" t="s">
        <v>149</v>
      </c>
    </row>
    <row r="82" spans="1:5" x14ac:dyDescent="0.25">
      <c r="A82" t="s">
        <v>150</v>
      </c>
    </row>
    <row r="84" spans="1:5" x14ac:dyDescent="0.25">
      <c r="A84" s="115" t="s">
        <v>152</v>
      </c>
      <c r="B84" s="115" t="s">
        <v>153</v>
      </c>
      <c r="D84" s="115" t="s">
        <v>147</v>
      </c>
      <c r="E84" s="115"/>
    </row>
    <row r="85" spans="1:5" ht="30" x14ac:dyDescent="0.25">
      <c r="A85" s="86" t="s">
        <v>107</v>
      </c>
      <c r="B85" s="130">
        <v>32586.206896551725</v>
      </c>
      <c r="D85" s="115" t="s">
        <v>91</v>
      </c>
      <c r="E85" s="118">
        <v>0.24507351440899949</v>
      </c>
    </row>
    <row r="86" spans="1:5" ht="30" x14ac:dyDescent="0.25">
      <c r="A86" s="86" t="s">
        <v>105</v>
      </c>
      <c r="B86" s="130">
        <v>36310.34482758621</v>
      </c>
      <c r="D86" s="115" t="s">
        <v>90</v>
      </c>
      <c r="E86" s="118">
        <v>0.62107051081959319</v>
      </c>
    </row>
    <row r="87" spans="1:5" ht="30" x14ac:dyDescent="0.25">
      <c r="A87" s="86" t="s">
        <v>104</v>
      </c>
      <c r="B87" s="130">
        <v>13344.827586206897</v>
      </c>
      <c r="D87" s="115" t="s">
        <v>89</v>
      </c>
      <c r="E87" s="118">
        <v>0.13385597477140726</v>
      </c>
    </row>
  </sheetData>
  <mergeCells count="22">
    <mergeCell ref="B1:D1"/>
    <mergeCell ref="D25:G25"/>
    <mergeCell ref="A28:J28"/>
    <mergeCell ref="A45:A47"/>
    <mergeCell ref="B45:B47"/>
    <mergeCell ref="A48:A50"/>
    <mergeCell ref="B48:B50"/>
    <mergeCell ref="A51:A53"/>
    <mergeCell ref="B51:B53"/>
    <mergeCell ref="A56:A58"/>
    <mergeCell ref="B56:B58"/>
    <mergeCell ref="A59:A61"/>
    <mergeCell ref="B59:B61"/>
    <mergeCell ref="A73:A75"/>
    <mergeCell ref="B73:B75"/>
    <mergeCell ref="A62:A64"/>
    <mergeCell ref="B62:B64"/>
    <mergeCell ref="A78:H78"/>
    <mergeCell ref="A67:A69"/>
    <mergeCell ref="B67:B69"/>
    <mergeCell ref="A70:A72"/>
    <mergeCell ref="B70:B7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35"/>
  <sheetViews>
    <sheetView tabSelected="1" topLeftCell="A19" workbookViewId="0">
      <selection sqref="A1:XFD3"/>
    </sheetView>
  </sheetViews>
  <sheetFormatPr baseColWidth="10" defaultRowHeight="15" x14ac:dyDescent="0.25"/>
  <cols>
    <col min="3" max="3" width="52" style="133" customWidth="1"/>
    <col min="4" max="4" width="15.140625" style="133" customWidth="1"/>
    <col min="5" max="5" width="14" style="133" customWidth="1"/>
    <col min="7" max="7" width="34.85546875" customWidth="1"/>
    <col min="9" max="9" width="22.7109375" customWidth="1"/>
    <col min="10" max="10" width="22.85546875" customWidth="1"/>
  </cols>
  <sheetData>
    <row r="1" spans="1:10" ht="26.25" x14ac:dyDescent="0.25">
      <c r="A1" s="206"/>
      <c r="B1" s="254" t="s">
        <v>252</v>
      </c>
      <c r="C1" s="254"/>
      <c r="D1" s="254"/>
      <c r="E1"/>
    </row>
    <row r="2" spans="1:10" x14ac:dyDescent="0.25">
      <c r="C2"/>
      <c r="D2"/>
      <c r="E2"/>
    </row>
    <row r="3" spans="1:10" x14ac:dyDescent="0.25">
      <c r="C3"/>
      <c r="D3"/>
      <c r="E3"/>
    </row>
    <row r="4" spans="1:10" ht="286.5" customHeight="1" x14ac:dyDescent="0.25">
      <c r="C4" s="288" t="s">
        <v>198</v>
      </c>
      <c r="D4" s="289"/>
      <c r="E4" s="289"/>
    </row>
    <row r="6" spans="1:10" ht="60" x14ac:dyDescent="0.25">
      <c r="D6" s="150" t="s">
        <v>183</v>
      </c>
      <c r="E6" s="150" t="s">
        <v>176</v>
      </c>
      <c r="G6" s="124" t="s">
        <v>161</v>
      </c>
      <c r="I6" s="35" t="s">
        <v>175</v>
      </c>
      <c r="J6" s="27">
        <v>1260</v>
      </c>
    </row>
    <row r="7" spans="1:10" ht="24" x14ac:dyDescent="0.25">
      <c r="D7" s="151" t="s">
        <v>171</v>
      </c>
      <c r="E7" s="151" t="s">
        <v>171</v>
      </c>
      <c r="G7" s="27"/>
      <c r="I7" s="27" t="s">
        <v>162</v>
      </c>
      <c r="J7" s="27">
        <v>1680</v>
      </c>
    </row>
    <row r="8" spans="1:10" ht="45" x14ac:dyDescent="0.25">
      <c r="C8" s="152" t="s">
        <v>172</v>
      </c>
      <c r="D8" s="153">
        <v>6</v>
      </c>
      <c r="E8" s="154">
        <f>D8*J7/J6</f>
        <v>8</v>
      </c>
      <c r="G8" s="35" t="s">
        <v>174</v>
      </c>
    </row>
    <row r="9" spans="1:10" ht="120" x14ac:dyDescent="0.25">
      <c r="C9" s="152" t="s">
        <v>173</v>
      </c>
      <c r="D9" s="153">
        <v>10</v>
      </c>
      <c r="E9" s="153">
        <v>13</v>
      </c>
      <c r="G9" s="136" t="s">
        <v>177</v>
      </c>
    </row>
    <row r="10" spans="1:10" ht="60" x14ac:dyDescent="0.25">
      <c r="C10" s="135" t="s">
        <v>163</v>
      </c>
      <c r="D10" s="137">
        <f>-D8*H10</f>
        <v>-0.60000000000000009</v>
      </c>
      <c r="E10" s="138">
        <f>-E8*I10</f>
        <v>-0.8</v>
      </c>
      <c r="G10" s="136" t="s">
        <v>178</v>
      </c>
      <c r="H10" s="139">
        <v>0.1</v>
      </c>
      <c r="I10" s="139">
        <v>0.1</v>
      </c>
    </row>
    <row r="11" spans="1:10" ht="60" x14ac:dyDescent="0.25">
      <c r="C11" s="135" t="s">
        <v>179</v>
      </c>
      <c r="D11" s="122">
        <f>-(D8+D10)*0.1</f>
        <v>-0.54</v>
      </c>
      <c r="E11" s="122">
        <f>-(E8+E10)*0.1</f>
        <v>-0.72000000000000008</v>
      </c>
      <c r="G11" s="35" t="s">
        <v>180</v>
      </c>
    </row>
    <row r="12" spans="1:10" ht="45" x14ac:dyDescent="0.25">
      <c r="C12" s="135" t="s">
        <v>181</v>
      </c>
      <c r="D12" s="122">
        <v>2.2999999999999998</v>
      </c>
      <c r="E12" s="122">
        <v>2.2999999999999998</v>
      </c>
      <c r="G12" s="35" t="s">
        <v>182</v>
      </c>
    </row>
    <row r="13" spans="1:10" x14ac:dyDescent="0.25">
      <c r="C13" s="152" t="s">
        <v>164</v>
      </c>
      <c r="D13" s="153">
        <f>D8+SUM(D10:D12)</f>
        <v>7.16</v>
      </c>
      <c r="E13" s="153">
        <f>E8+SUM(E10:E12)</f>
        <v>8.7799999999999994</v>
      </c>
      <c r="G13" s="27"/>
    </row>
    <row r="15" spans="1:10" x14ac:dyDescent="0.25">
      <c r="D15" s="140" t="s">
        <v>159</v>
      </c>
      <c r="E15" s="134" t="s">
        <v>160</v>
      </c>
      <c r="G15" s="27"/>
    </row>
    <row r="16" spans="1:10" ht="150" x14ac:dyDescent="0.25">
      <c r="C16" s="135" t="s">
        <v>165</v>
      </c>
      <c r="D16" s="141">
        <v>189000</v>
      </c>
      <c r="E16" s="141">
        <v>210000</v>
      </c>
      <c r="G16" s="35" t="s">
        <v>188</v>
      </c>
    </row>
    <row r="17" spans="3:11" x14ac:dyDescent="0.25">
      <c r="C17" s="142" t="s">
        <v>166</v>
      </c>
      <c r="D17" s="143">
        <f>0.87*D16</f>
        <v>164430</v>
      </c>
      <c r="E17" s="143">
        <f>0.87*E16</f>
        <v>182700</v>
      </c>
      <c r="G17" s="27"/>
    </row>
    <row r="18" spans="3:11" x14ac:dyDescent="0.25">
      <c r="C18" s="142" t="s">
        <v>167</v>
      </c>
      <c r="D18" s="143">
        <f>0.13*D16</f>
        <v>24570</v>
      </c>
      <c r="E18" s="143">
        <f>0.13*E16</f>
        <v>27300</v>
      </c>
      <c r="G18" s="27"/>
    </row>
    <row r="19" spans="3:11" ht="45" x14ac:dyDescent="0.25">
      <c r="C19" s="135" t="s">
        <v>168</v>
      </c>
      <c r="D19" s="144">
        <v>0.1</v>
      </c>
      <c r="E19" s="144">
        <v>0.1</v>
      </c>
      <c r="G19" s="35" t="s">
        <v>184</v>
      </c>
    </row>
    <row r="20" spans="3:11" ht="30" x14ac:dyDescent="0.25">
      <c r="C20" s="158" t="s">
        <v>169</v>
      </c>
      <c r="D20" s="159">
        <f>D16*(1-D19)</f>
        <v>170100</v>
      </c>
      <c r="E20" s="159">
        <f>E16*(1-E19)</f>
        <v>189000</v>
      </c>
      <c r="I20" s="34"/>
    </row>
    <row r="21" spans="3:11" x14ac:dyDescent="0.25">
      <c r="D21" s="123"/>
      <c r="E21" s="123"/>
      <c r="F21" s="27" t="s">
        <v>29</v>
      </c>
    </row>
    <row r="22" spans="3:11" x14ac:dyDescent="0.25">
      <c r="C22" s="135" t="s">
        <v>196</v>
      </c>
      <c r="D22" s="155">
        <f>(D17*D8+D18*D9)/10^6</f>
        <v>1.23228</v>
      </c>
      <c r="E22" s="155">
        <f>(E17*E8+E18*E9)/10^6</f>
        <v>1.8165</v>
      </c>
      <c r="F22" s="27">
        <f>D22+E22</f>
        <v>3.0487799999999998</v>
      </c>
    </row>
    <row r="23" spans="3:11" x14ac:dyDescent="0.25">
      <c r="C23" s="135" t="s">
        <v>197</v>
      </c>
      <c r="D23" s="156">
        <f>D20*D13/10^6</f>
        <v>1.217916</v>
      </c>
      <c r="E23" s="156">
        <f>E20*E13/10^6</f>
        <v>1.6594199999999997</v>
      </c>
      <c r="F23" s="27">
        <f>D23+E23</f>
        <v>2.8773359999999997</v>
      </c>
      <c r="H23" s="36"/>
      <c r="I23" s="36"/>
      <c r="J23" s="36"/>
      <c r="K23" s="36"/>
    </row>
    <row r="24" spans="3:11" x14ac:dyDescent="0.25">
      <c r="C24" s="147"/>
      <c r="D24" s="146"/>
      <c r="E24" s="146"/>
      <c r="F24" s="36"/>
      <c r="H24" s="36"/>
      <c r="I24" s="36"/>
      <c r="J24" s="36"/>
      <c r="K24" s="36"/>
    </row>
    <row r="25" spans="3:11" x14ac:dyDescent="0.25">
      <c r="D25" s="140" t="s">
        <v>159</v>
      </c>
      <c r="E25" s="134" t="s">
        <v>160</v>
      </c>
      <c r="H25" s="36"/>
      <c r="I25" s="148"/>
      <c r="J25" s="149"/>
      <c r="K25" s="36"/>
    </row>
    <row r="26" spans="3:11" ht="30" x14ac:dyDescent="0.25">
      <c r="C26" s="145" t="s">
        <v>194</v>
      </c>
      <c r="D26" s="157">
        <f>D22/$H$26</f>
        <v>0.17604</v>
      </c>
      <c r="E26" s="157">
        <f>E22/$H$26</f>
        <v>0.25950000000000001</v>
      </c>
      <c r="G26" s="35" t="s">
        <v>189</v>
      </c>
      <c r="H26" s="179">
        <v>7</v>
      </c>
      <c r="I26" s="36"/>
      <c r="J26" s="36"/>
      <c r="K26" s="36"/>
    </row>
    <row r="27" spans="3:11" ht="30" x14ac:dyDescent="0.25">
      <c r="C27" s="145" t="s">
        <v>195</v>
      </c>
      <c r="D27" s="157">
        <f>D23/$H$27</f>
        <v>0.1217916</v>
      </c>
      <c r="E27" s="157">
        <f>E23/$H$27</f>
        <v>0.16594199999999998</v>
      </c>
      <c r="G27" s="35" t="s">
        <v>190</v>
      </c>
      <c r="H27" s="179">
        <v>10</v>
      </c>
      <c r="I27" s="36"/>
      <c r="J27" s="36"/>
      <c r="K27" s="36"/>
    </row>
    <row r="28" spans="3:11" x14ac:dyDescent="0.25">
      <c r="H28" s="36"/>
      <c r="I28" s="36"/>
      <c r="J28" s="36"/>
      <c r="K28" s="36"/>
    </row>
    <row r="29" spans="3:11" x14ac:dyDescent="0.25">
      <c r="H29" s="36"/>
      <c r="I29" s="36"/>
      <c r="J29" s="36"/>
      <c r="K29" s="36"/>
    </row>
    <row r="30" spans="3:11" x14ac:dyDescent="0.25">
      <c r="H30" s="36"/>
      <c r="I30" s="36"/>
      <c r="J30" s="36"/>
      <c r="K30" s="36"/>
    </row>
    <row r="31" spans="3:11" ht="45" x14ac:dyDescent="0.25">
      <c r="C31" s="158" t="s">
        <v>185</v>
      </c>
      <c r="D31" s="180" t="s">
        <v>159</v>
      </c>
      <c r="E31" s="180" t="s">
        <v>160</v>
      </c>
      <c r="H31" s="36"/>
      <c r="I31" s="36"/>
      <c r="J31" s="36"/>
      <c r="K31" s="36"/>
    </row>
    <row r="32" spans="3:11" ht="45" x14ac:dyDescent="0.25">
      <c r="C32" s="185" t="s">
        <v>191</v>
      </c>
      <c r="D32" s="181">
        <v>11.4</v>
      </c>
      <c r="E32" s="181">
        <v>13.2</v>
      </c>
      <c r="H32" s="36"/>
      <c r="I32" s="36"/>
      <c r="J32" s="36"/>
      <c r="K32" s="36"/>
    </row>
    <row r="33" spans="3:5" x14ac:dyDescent="0.25">
      <c r="C33" s="181" t="s">
        <v>170</v>
      </c>
      <c r="D33" s="182">
        <f>0.9*D16</f>
        <v>170100</v>
      </c>
      <c r="E33" s="182">
        <f>0.9*E16</f>
        <v>189000</v>
      </c>
    </row>
    <row r="34" spans="3:5" x14ac:dyDescent="0.25">
      <c r="C34" s="181" t="s">
        <v>192</v>
      </c>
      <c r="D34" s="183">
        <f>D33*D32/1000000</f>
        <v>1.9391400000000001</v>
      </c>
      <c r="E34" s="183">
        <f>E33*E32/1000000</f>
        <v>2.4948000000000001</v>
      </c>
    </row>
    <row r="35" spans="3:5" x14ac:dyDescent="0.25">
      <c r="C35" s="181" t="s">
        <v>193</v>
      </c>
      <c r="D35" s="184">
        <f>D34/10</f>
        <v>0.193914</v>
      </c>
      <c r="E35" s="184">
        <f>E34/10</f>
        <v>0.24948000000000001</v>
      </c>
    </row>
  </sheetData>
  <mergeCells count="2">
    <mergeCell ref="C4:E4"/>
    <mergeCell ref="B1:D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63"/>
  <sheetViews>
    <sheetView topLeftCell="B48" workbookViewId="0">
      <selection activeCell="G51" sqref="G51"/>
    </sheetView>
  </sheetViews>
  <sheetFormatPr baseColWidth="10" defaultRowHeight="15" x14ac:dyDescent="0.25"/>
  <cols>
    <col min="1" max="1" width="31.140625" customWidth="1"/>
    <col min="2" max="2" width="22.5703125" customWidth="1"/>
    <col min="3" max="3" width="26" customWidth="1"/>
    <col min="4" max="4" width="28.42578125" customWidth="1"/>
    <col min="5" max="5" width="35.140625" customWidth="1"/>
    <col min="6" max="6" width="18.28515625" customWidth="1"/>
    <col min="7" max="7" width="23.28515625" customWidth="1"/>
    <col min="8" max="8" width="30.7109375" customWidth="1"/>
    <col min="9" max="9" width="26.140625" customWidth="1"/>
    <col min="10" max="10" width="23.140625" customWidth="1"/>
  </cols>
  <sheetData>
    <row r="1" spans="1:11" ht="26.25" x14ac:dyDescent="0.25">
      <c r="A1" s="206"/>
      <c r="B1" s="254" t="s">
        <v>253</v>
      </c>
      <c r="C1" s="254"/>
      <c r="D1" s="254"/>
    </row>
    <row r="4" spans="1:11" ht="105" customHeight="1" x14ac:dyDescent="0.25">
      <c r="A4" s="298" t="s">
        <v>187</v>
      </c>
      <c r="B4" s="299"/>
      <c r="C4" s="299"/>
      <c r="D4" s="299"/>
    </row>
    <row r="5" spans="1:11" x14ac:dyDescent="0.25">
      <c r="F5" s="36"/>
      <c r="G5" s="36"/>
      <c r="H5" s="36"/>
      <c r="I5" s="36"/>
      <c r="J5" s="36"/>
      <c r="K5" s="36"/>
    </row>
    <row r="6" spans="1:11" ht="30" x14ac:dyDescent="0.25">
      <c r="A6" s="88" t="s">
        <v>114</v>
      </c>
      <c r="B6" s="61" t="s">
        <v>113</v>
      </c>
      <c r="C6" s="87"/>
      <c r="D6" s="87"/>
      <c r="F6" s="89"/>
      <c r="G6" s="90"/>
      <c r="H6" s="36"/>
      <c r="I6" s="79"/>
      <c r="J6" s="79"/>
      <c r="K6" s="36"/>
    </row>
    <row r="7" spans="1:11" x14ac:dyDescent="0.25">
      <c r="A7" s="291" t="s">
        <v>112</v>
      </c>
      <c r="B7" s="292"/>
      <c r="C7" s="83"/>
      <c r="D7" s="83"/>
      <c r="F7" s="91"/>
      <c r="G7" s="81"/>
      <c r="H7" s="36"/>
      <c r="I7" s="36"/>
      <c r="J7" s="36"/>
      <c r="K7" s="36"/>
    </row>
    <row r="8" spans="1:11" x14ac:dyDescent="0.25">
      <c r="A8" s="86" t="s">
        <v>111</v>
      </c>
      <c r="B8" s="85">
        <v>105000</v>
      </c>
      <c r="C8" s="84">
        <f>B8/SUM($B$8:$B$10)</f>
        <v>0.39622641509433965</v>
      </c>
      <c r="D8" s="84" t="s">
        <v>108</v>
      </c>
      <c r="F8" s="91"/>
      <c r="G8" s="81"/>
      <c r="H8" s="36"/>
      <c r="I8" s="36"/>
      <c r="J8" s="36"/>
      <c r="K8" s="36"/>
    </row>
    <row r="9" spans="1:11" x14ac:dyDescent="0.25">
      <c r="A9" s="86" t="s">
        <v>110</v>
      </c>
      <c r="B9" s="85">
        <v>117000</v>
      </c>
      <c r="C9" s="84">
        <f>B9/SUM($B$8:$B$10)</f>
        <v>0.44150943396226416</v>
      </c>
      <c r="D9" s="84" t="s">
        <v>108</v>
      </c>
      <c r="F9" s="91"/>
      <c r="G9" s="81"/>
      <c r="H9" s="36"/>
      <c r="I9" s="36"/>
      <c r="J9" s="36"/>
      <c r="K9" s="36"/>
    </row>
    <row r="10" spans="1:11" x14ac:dyDescent="0.25">
      <c r="A10" s="86" t="s">
        <v>109</v>
      </c>
      <c r="B10" s="85">
        <v>43000</v>
      </c>
      <c r="C10" s="84">
        <f>B10/SUM($B$8:$B$10)</f>
        <v>0.16226415094339622</v>
      </c>
      <c r="D10" s="84" t="s">
        <v>108</v>
      </c>
      <c r="F10" s="36"/>
      <c r="G10" s="36"/>
      <c r="H10" s="36"/>
      <c r="I10" s="36"/>
      <c r="J10" s="36"/>
      <c r="K10" s="36"/>
    </row>
    <row r="11" spans="1:11" ht="30" x14ac:dyDescent="0.25">
      <c r="A11" s="86" t="s">
        <v>107</v>
      </c>
      <c r="B11" s="85">
        <v>33000</v>
      </c>
      <c r="C11" s="84">
        <f>B11/SUM($B$11:$B$13)</f>
        <v>0.40243902439024393</v>
      </c>
      <c r="D11" s="84" t="s">
        <v>106</v>
      </c>
    </row>
    <row r="12" spans="1:11" ht="30" x14ac:dyDescent="0.25">
      <c r="A12" s="86" t="s">
        <v>105</v>
      </c>
      <c r="B12" s="85">
        <v>36000</v>
      </c>
      <c r="C12" s="84">
        <f>B12/SUM($B$11:$B$13)</f>
        <v>0.43902439024390244</v>
      </c>
      <c r="D12" s="84"/>
    </row>
    <row r="13" spans="1:11" ht="30" x14ac:dyDescent="0.25">
      <c r="A13" s="86" t="s">
        <v>104</v>
      </c>
      <c r="B13" s="85">
        <v>13000</v>
      </c>
      <c r="C13" s="84">
        <f>B13/SUM($B$11:$B$13)</f>
        <v>0.15853658536585366</v>
      </c>
      <c r="D13" s="84"/>
    </row>
    <row r="14" spans="1:11" x14ac:dyDescent="0.25">
      <c r="A14" s="291" t="s">
        <v>103</v>
      </c>
      <c r="B14" s="292"/>
      <c r="C14" s="83"/>
      <c r="D14" s="82"/>
    </row>
    <row r="15" spans="1:11" x14ac:dyDescent="0.25">
      <c r="A15" s="76" t="s">
        <v>156</v>
      </c>
      <c r="B15" s="75">
        <v>65000</v>
      </c>
      <c r="C15" s="71"/>
      <c r="D15" s="79"/>
    </row>
    <row r="16" spans="1:11" ht="45" x14ac:dyDescent="0.25">
      <c r="A16" s="70" t="s">
        <v>96</v>
      </c>
      <c r="B16" s="74">
        <f>C8*B15</f>
        <v>25754.716981132078</v>
      </c>
      <c r="C16" s="131" t="s">
        <v>154</v>
      </c>
      <c r="D16" s="81"/>
    </row>
    <row r="17" spans="1:5" x14ac:dyDescent="0.25">
      <c r="A17" s="70" t="s">
        <v>95</v>
      </c>
      <c r="B17" s="77">
        <f>C9*B15</f>
        <v>28698.113207547172</v>
      </c>
      <c r="C17" s="69"/>
      <c r="D17" s="81"/>
    </row>
    <row r="18" spans="1:5" ht="90" x14ac:dyDescent="0.25">
      <c r="A18" s="70" t="s">
        <v>94</v>
      </c>
      <c r="B18" s="77">
        <f>C10*B15</f>
        <v>10547.169811320755</v>
      </c>
      <c r="C18" s="132" t="s">
        <v>155</v>
      </c>
      <c r="D18" s="81"/>
    </row>
    <row r="19" spans="1:5" x14ac:dyDescent="0.25">
      <c r="A19" s="80" t="s">
        <v>102</v>
      </c>
      <c r="B19" s="75">
        <v>64000</v>
      </c>
      <c r="C19" s="27"/>
    </row>
    <row r="20" spans="1:5" ht="30" x14ac:dyDescent="0.25">
      <c r="A20" s="70" t="s">
        <v>101</v>
      </c>
      <c r="B20" s="74">
        <f>C8*B19</f>
        <v>25358.490566037737</v>
      </c>
      <c r="C20" s="131" t="s">
        <v>100</v>
      </c>
      <c r="D20" s="79"/>
    </row>
    <row r="21" spans="1:5" x14ac:dyDescent="0.25">
      <c r="A21" s="78" t="s">
        <v>99</v>
      </c>
      <c r="B21" s="77">
        <f>C9*B19</f>
        <v>28256.603773584906</v>
      </c>
      <c r="C21" s="27"/>
    </row>
    <row r="22" spans="1:5" x14ac:dyDescent="0.25">
      <c r="A22" s="78" t="s">
        <v>98</v>
      </c>
      <c r="B22" s="77">
        <f>C10*B19</f>
        <v>10384.905660377359</v>
      </c>
      <c r="C22" s="27"/>
    </row>
    <row r="23" spans="1:5" x14ac:dyDescent="0.25">
      <c r="A23" s="291" t="s">
        <v>29</v>
      </c>
      <c r="B23" s="292"/>
      <c r="C23" s="36"/>
    </row>
    <row r="24" spans="1:5" x14ac:dyDescent="0.25">
      <c r="A24" s="76" t="s">
        <v>97</v>
      </c>
      <c r="B24" s="75">
        <f>SUM(B25:B27)</f>
        <v>476000.00000000006</v>
      </c>
      <c r="C24" s="36"/>
    </row>
    <row r="25" spans="1:5" x14ac:dyDescent="0.25">
      <c r="A25" s="70" t="s">
        <v>96</v>
      </c>
      <c r="B25" s="74">
        <f>B20+B16+B11+B8</f>
        <v>189113.20754716982</v>
      </c>
      <c r="C25" s="36"/>
    </row>
    <row r="26" spans="1:5" x14ac:dyDescent="0.25">
      <c r="A26" s="70" t="s">
        <v>95</v>
      </c>
      <c r="B26" s="74">
        <f>B21+B17+B12+B9</f>
        <v>209954.71698113208</v>
      </c>
      <c r="C26" s="36"/>
    </row>
    <row r="27" spans="1:5" x14ac:dyDescent="0.25">
      <c r="A27" s="70" t="s">
        <v>94</v>
      </c>
      <c r="B27" s="74">
        <f>B22+B18+B13+B10</f>
        <v>76932.075471698117</v>
      </c>
      <c r="C27" s="36"/>
    </row>
    <row r="30" spans="1:5" x14ac:dyDescent="0.25">
      <c r="A30" s="73" t="s">
        <v>93</v>
      </c>
      <c r="B30" s="72"/>
      <c r="D30" s="71" t="s">
        <v>92</v>
      </c>
      <c r="E30" s="71">
        <v>14000</v>
      </c>
    </row>
    <row r="31" spans="1:5" x14ac:dyDescent="0.25">
      <c r="A31" s="70" t="s">
        <v>91</v>
      </c>
      <c r="B31" s="69">
        <v>0.24507351440899949</v>
      </c>
    </row>
    <row r="32" spans="1:5" x14ac:dyDescent="0.25">
      <c r="A32" s="70" t="s">
        <v>90</v>
      </c>
      <c r="B32" s="69">
        <v>0.62107051081959319</v>
      </c>
    </row>
    <row r="33" spans="1:9" x14ac:dyDescent="0.25">
      <c r="A33" s="70" t="s">
        <v>89</v>
      </c>
      <c r="B33" s="69">
        <v>0.13385597477140726</v>
      </c>
    </row>
    <row r="35" spans="1:9" ht="60" x14ac:dyDescent="0.25">
      <c r="A35" s="93" t="s">
        <v>88</v>
      </c>
      <c r="F35" s="68" t="s">
        <v>87</v>
      </c>
      <c r="G35" s="41" t="s">
        <v>86</v>
      </c>
      <c r="H35" s="35" t="s">
        <v>115</v>
      </c>
      <c r="I35" s="27" t="s">
        <v>60</v>
      </c>
    </row>
    <row r="36" spans="1:9" ht="30" x14ac:dyDescent="0.25">
      <c r="F36" s="27">
        <v>1260</v>
      </c>
      <c r="G36" s="27">
        <v>1680</v>
      </c>
      <c r="H36" s="27">
        <f>G36/F36</f>
        <v>1.3333333333333333</v>
      </c>
      <c r="I36" s="35" t="s">
        <v>116</v>
      </c>
    </row>
    <row r="37" spans="1:9" x14ac:dyDescent="0.25">
      <c r="F37" s="36"/>
      <c r="G37" s="36"/>
    </row>
    <row r="38" spans="1:9" ht="30" x14ac:dyDescent="0.25">
      <c r="A38" s="67" t="s">
        <v>85</v>
      </c>
      <c r="B38" s="295">
        <v>2020</v>
      </c>
      <c r="C38" s="296"/>
      <c r="D38" s="297"/>
      <c r="E38" s="295">
        <v>2050</v>
      </c>
      <c r="F38" s="296"/>
      <c r="G38" s="297"/>
    </row>
    <row r="39" spans="1:9" x14ac:dyDescent="0.25">
      <c r="A39" s="67"/>
      <c r="B39" s="66" t="s">
        <v>38</v>
      </c>
      <c r="C39" s="66" t="s">
        <v>39</v>
      </c>
      <c r="D39" s="61" t="s">
        <v>60</v>
      </c>
      <c r="E39" s="66" t="s">
        <v>38</v>
      </c>
      <c r="F39" s="66" t="s">
        <v>39</v>
      </c>
      <c r="G39" s="61" t="s">
        <v>60</v>
      </c>
    </row>
    <row r="40" spans="1:9" ht="30" x14ac:dyDescent="0.25">
      <c r="A40" s="61" t="s">
        <v>84</v>
      </c>
      <c r="B40" s="61">
        <v>0.19800000000000001</v>
      </c>
      <c r="C40" s="61" t="s">
        <v>72</v>
      </c>
      <c r="D40" s="61" t="s">
        <v>83</v>
      </c>
      <c r="E40" s="27"/>
      <c r="F40" s="27"/>
      <c r="G40" s="27"/>
    </row>
    <row r="41" spans="1:9" ht="30" x14ac:dyDescent="0.25">
      <c r="A41" s="61" t="s">
        <v>82</v>
      </c>
      <c r="B41" s="61">
        <v>0.186</v>
      </c>
      <c r="C41" s="61" t="s">
        <v>72</v>
      </c>
      <c r="D41" s="61" t="s">
        <v>81</v>
      </c>
      <c r="E41" s="27"/>
      <c r="F41" s="27"/>
      <c r="G41" s="27"/>
    </row>
    <row r="42" spans="1:9" ht="135" x14ac:dyDescent="0.25">
      <c r="A42" s="61" t="s">
        <v>80</v>
      </c>
      <c r="B42">
        <v>7.1199999999999996E-3</v>
      </c>
      <c r="C42" s="61" t="s">
        <v>72</v>
      </c>
      <c r="D42" s="61" t="s">
        <v>79</v>
      </c>
      <c r="E42">
        <v>5.0000000000000001E-3</v>
      </c>
      <c r="F42" s="61" t="s">
        <v>72</v>
      </c>
      <c r="G42" s="61" t="s">
        <v>78</v>
      </c>
      <c r="I42" s="65"/>
    </row>
    <row r="43" spans="1:9" x14ac:dyDescent="0.25">
      <c r="A43" s="293" t="s">
        <v>77</v>
      </c>
      <c r="B43" s="61">
        <v>1.01</v>
      </c>
      <c r="C43" s="61" t="s">
        <v>75</v>
      </c>
      <c r="D43" s="61"/>
      <c r="E43" s="27"/>
      <c r="F43" s="27"/>
      <c r="G43" s="27"/>
    </row>
    <row r="44" spans="1:9" ht="30" x14ac:dyDescent="0.25">
      <c r="A44" s="294"/>
      <c r="B44" s="61">
        <f>B43*1.68</f>
        <v>1.6967999999999999</v>
      </c>
      <c r="C44" s="61" t="s">
        <v>72</v>
      </c>
      <c r="D44" s="64" t="s">
        <v>117</v>
      </c>
      <c r="E44" s="27"/>
      <c r="F44" s="27"/>
      <c r="G44" s="27"/>
      <c r="I44" s="65"/>
    </row>
    <row r="45" spans="1:9" x14ac:dyDescent="0.25">
      <c r="A45" s="293" t="s">
        <v>76</v>
      </c>
      <c r="B45" s="61">
        <v>0.67300000000000004</v>
      </c>
      <c r="C45" s="61" t="s">
        <v>75</v>
      </c>
      <c r="D45" s="92"/>
      <c r="E45" s="27"/>
      <c r="F45" s="27"/>
      <c r="G45" s="27"/>
    </row>
    <row r="46" spans="1:9" ht="30" x14ac:dyDescent="0.25">
      <c r="A46" s="294"/>
      <c r="B46" s="61">
        <f>B45*1.68</f>
        <v>1.1306400000000001</v>
      </c>
      <c r="C46" s="61" t="s">
        <v>72</v>
      </c>
      <c r="D46" s="64" t="s">
        <v>117</v>
      </c>
      <c r="E46" s="27"/>
      <c r="F46" s="27"/>
      <c r="G46" s="27"/>
    </row>
    <row r="47" spans="1:9" ht="45" x14ac:dyDescent="0.25">
      <c r="A47" s="63" t="s">
        <v>74</v>
      </c>
      <c r="B47" s="62">
        <v>8.2400000000000008E-3</v>
      </c>
      <c r="C47" s="61" t="s">
        <v>72</v>
      </c>
      <c r="D47" s="61" t="s">
        <v>73</v>
      </c>
      <c r="E47" s="27">
        <v>7.1999999999999998E-3</v>
      </c>
      <c r="F47" s="61" t="s">
        <v>72</v>
      </c>
      <c r="G47" s="61" t="s">
        <v>71</v>
      </c>
    </row>
    <row r="49" spans="1:11" x14ac:dyDescent="0.25">
      <c r="B49" s="300">
        <v>2020</v>
      </c>
      <c r="C49" s="300"/>
      <c r="D49" s="301"/>
      <c r="E49" s="300">
        <v>2050</v>
      </c>
      <c r="F49" s="300"/>
      <c r="G49" s="300"/>
      <c r="H49" s="290"/>
      <c r="I49" s="290"/>
      <c r="J49" s="290"/>
      <c r="K49" s="164"/>
    </row>
    <row r="50" spans="1:11" s="60" customFormat="1" ht="75" x14ac:dyDescent="0.25">
      <c r="A50" s="55"/>
      <c r="B50" s="54" t="s">
        <v>65</v>
      </c>
      <c r="C50" s="54" t="s">
        <v>63</v>
      </c>
      <c r="D50" s="160" t="s">
        <v>157</v>
      </c>
      <c r="E50" s="54" t="s">
        <v>64</v>
      </c>
      <c r="F50" s="54" t="s">
        <v>63</v>
      </c>
      <c r="G50" s="54" t="s">
        <v>158</v>
      </c>
      <c r="H50" s="165"/>
      <c r="I50" s="165"/>
      <c r="J50" s="165"/>
      <c r="K50" s="166"/>
    </row>
    <row r="51" spans="1:11" x14ac:dyDescent="0.25">
      <c r="A51" s="53" t="s">
        <v>70</v>
      </c>
      <c r="B51" s="52">
        <f>B25</f>
        <v>189113.20754716982</v>
      </c>
      <c r="C51" s="48">
        <f>SUM(C52:C54)</f>
        <v>0.43684283966778265</v>
      </c>
      <c r="D51" s="47">
        <f>'Emissions fabrication véhicules'!D26</f>
        <v>0.17604</v>
      </c>
      <c r="E51" s="51">
        <f>0.9*B51</f>
        <v>170201.88679245283</v>
      </c>
      <c r="F51" s="48">
        <f>SUM(F52:F54)</f>
        <v>1.1914132075471699E-2</v>
      </c>
      <c r="G51" s="39">
        <f>'Emissions fabrication véhicules'!D27</f>
        <v>0.1217916</v>
      </c>
      <c r="H51" s="167"/>
      <c r="I51" s="163"/>
      <c r="J51" s="168"/>
      <c r="K51" s="164"/>
    </row>
    <row r="52" spans="1:11" x14ac:dyDescent="0.25">
      <c r="A52" s="45" t="s">
        <v>69</v>
      </c>
      <c r="B52" s="44">
        <f>$B$51*B31</f>
        <v>46346.638394743437</v>
      </c>
      <c r="C52" s="46">
        <f>B52*$E$30*B40/1000000000</f>
        <v>0.1284728816302288</v>
      </c>
      <c r="D52" s="177"/>
      <c r="E52" s="43">
        <v>0</v>
      </c>
      <c r="F52" s="122"/>
      <c r="G52" s="122"/>
      <c r="H52" s="167"/>
      <c r="I52" s="169"/>
      <c r="J52" s="169"/>
      <c r="K52" s="164"/>
    </row>
    <row r="53" spans="1:11" x14ac:dyDescent="0.25">
      <c r="A53" s="45" t="s">
        <v>68</v>
      </c>
      <c r="B53" s="44">
        <f>$B$51*B32</f>
        <v>117452.63641405251</v>
      </c>
      <c r="C53" s="46">
        <f>B53*$E$30*B41/1000000000</f>
        <v>0.30584666522219273</v>
      </c>
      <c r="D53" s="177"/>
      <c r="E53" s="43">
        <v>0</v>
      </c>
      <c r="F53" s="122"/>
      <c r="G53" s="122"/>
      <c r="H53" s="167"/>
      <c r="I53" s="169"/>
      <c r="J53" s="169"/>
      <c r="K53" s="164"/>
    </row>
    <row r="54" spans="1:11" x14ac:dyDescent="0.25">
      <c r="A54" s="45" t="s">
        <v>67</v>
      </c>
      <c r="B54" s="44">
        <f>$B$51*B33</f>
        <v>25313.932738373867</v>
      </c>
      <c r="C54" s="42">
        <f>B54*$E$30*B42/1000000000</f>
        <v>2.5232928153611067E-3</v>
      </c>
      <c r="D54" s="177"/>
      <c r="E54" s="43">
        <f>E51</f>
        <v>170201.88679245283</v>
      </c>
      <c r="F54" s="42">
        <f>E54*$E$30*E42/1000000000</f>
        <v>1.1914132075471699E-2</v>
      </c>
      <c r="G54" s="122"/>
      <c r="H54" s="167"/>
      <c r="I54" s="163"/>
      <c r="J54" s="169"/>
      <c r="K54" s="164"/>
    </row>
    <row r="55" spans="1:11" x14ac:dyDescent="0.25">
      <c r="A55" s="40" t="s">
        <v>62</v>
      </c>
      <c r="B55" s="50">
        <f>B26</f>
        <v>209954.71698113208</v>
      </c>
      <c r="C55" s="48">
        <f>SUM(C56:C58)</f>
        <v>3.2895940725905159</v>
      </c>
      <c r="D55" s="161">
        <f>'Emissions fabrication véhicules'!E26</f>
        <v>0.25950000000000001</v>
      </c>
      <c r="E55" s="49">
        <f>0.9*B55</f>
        <v>188959.24528301888</v>
      </c>
      <c r="F55" s="48">
        <f>SUM(F56:F58)</f>
        <v>1.9047091924528303E-2</v>
      </c>
      <c r="G55" s="47">
        <f>'Emissions fabrication véhicules'!E27</f>
        <v>0.16594199999999998</v>
      </c>
      <c r="H55" s="167"/>
      <c r="I55" s="163"/>
      <c r="J55" s="170"/>
      <c r="K55" s="164"/>
    </row>
    <row r="56" spans="1:11" x14ac:dyDescent="0.25">
      <c r="A56" s="45" t="s">
        <v>69</v>
      </c>
      <c r="B56" s="44">
        <f>$B$55*B31</f>
        <v>51454.340357312882</v>
      </c>
      <c r="C56" s="46">
        <f>B56*$E$30*B44/1000000000</f>
        <v>1.2223081460560388</v>
      </c>
      <c r="D56" s="177"/>
      <c r="E56" s="43"/>
      <c r="F56" s="122"/>
      <c r="G56" s="122"/>
      <c r="H56" s="167"/>
      <c r="I56" s="169"/>
      <c r="J56" s="169"/>
      <c r="K56" s="164"/>
    </row>
    <row r="57" spans="1:11" x14ac:dyDescent="0.25">
      <c r="A57" s="59" t="s">
        <v>68</v>
      </c>
      <c r="B57" s="44">
        <f>$B$55*B32</f>
        <v>130396.68332445482</v>
      </c>
      <c r="C57" s="46">
        <f>B57*$E$30*B46/1000000000</f>
        <v>2.0640438844754625</v>
      </c>
      <c r="D57" s="177"/>
      <c r="E57" s="43"/>
      <c r="F57" s="122"/>
      <c r="G57" s="122"/>
      <c r="H57" s="167"/>
      <c r="I57" s="169"/>
      <c r="J57" s="169"/>
      <c r="K57" s="164"/>
    </row>
    <row r="58" spans="1:11" x14ac:dyDescent="0.25">
      <c r="A58" s="59" t="s">
        <v>67</v>
      </c>
      <c r="B58" s="44">
        <f>$B$55*B33</f>
        <v>28103.693299364368</v>
      </c>
      <c r="C58" s="42">
        <f>B58*$E$30*B47/1000000000</f>
        <v>3.2420420590146739E-3</v>
      </c>
      <c r="D58" s="177"/>
      <c r="E58" s="43">
        <f>E55</f>
        <v>188959.24528301888</v>
      </c>
      <c r="F58" s="42">
        <f>E58*$E$30*E47/1000000000</f>
        <v>1.9047091924528303E-2</v>
      </c>
      <c r="G58" s="122"/>
      <c r="H58" s="167"/>
      <c r="I58" s="163"/>
      <c r="J58" s="169"/>
      <c r="K58" s="164"/>
    </row>
    <row r="59" spans="1:11" x14ac:dyDescent="0.25">
      <c r="A59" s="40" t="s">
        <v>61</v>
      </c>
      <c r="B59" s="38">
        <f t="shared" ref="B59:G59" si="0">B51+B55</f>
        <v>399067.92452830193</v>
      </c>
      <c r="C59" s="37">
        <f t="shared" si="0"/>
        <v>3.7264369122582988</v>
      </c>
      <c r="D59" s="161">
        <f t="shared" si="0"/>
        <v>0.43554000000000004</v>
      </c>
      <c r="E59" s="38">
        <f t="shared" si="0"/>
        <v>359161.13207547169</v>
      </c>
      <c r="F59" s="37">
        <f t="shared" si="0"/>
        <v>3.0961224000000002E-2</v>
      </c>
      <c r="G59" s="37">
        <f t="shared" si="0"/>
        <v>0.28773359999999998</v>
      </c>
      <c r="H59" s="171"/>
      <c r="I59" s="172"/>
      <c r="J59" s="173"/>
      <c r="K59" s="164"/>
    </row>
    <row r="60" spans="1:11" ht="30" x14ac:dyDescent="0.25">
      <c r="A60" s="178" t="s">
        <v>186</v>
      </c>
      <c r="C60" s="57" t="s">
        <v>29</v>
      </c>
      <c r="D60" s="162">
        <f>C59+D59</f>
        <v>4.1619769122582984</v>
      </c>
      <c r="E60" s="27"/>
      <c r="F60" s="57" t="s">
        <v>29</v>
      </c>
      <c r="G60" s="58">
        <f>F59+G59</f>
        <v>0.31869482399999999</v>
      </c>
      <c r="H60" s="164"/>
      <c r="I60" s="164"/>
      <c r="J60" s="174"/>
      <c r="K60" s="164"/>
    </row>
    <row r="61" spans="1:11" x14ac:dyDescent="0.25">
      <c r="E61" s="27"/>
      <c r="F61" s="57" t="s">
        <v>66</v>
      </c>
      <c r="G61" s="56">
        <f>(D60-G60)/D60</f>
        <v>0.92342705624787436</v>
      </c>
      <c r="H61" s="164"/>
      <c r="I61" s="164"/>
      <c r="J61" s="175"/>
      <c r="K61" s="164"/>
    </row>
    <row r="62" spans="1:11" x14ac:dyDescent="0.25">
      <c r="H62" s="164"/>
      <c r="I62" s="164"/>
      <c r="J62" s="176"/>
      <c r="K62" s="175"/>
    </row>
    <row r="63" spans="1:11" x14ac:dyDescent="0.25">
      <c r="H63" s="164"/>
      <c r="I63" s="164"/>
      <c r="J63" s="164"/>
      <c r="K63" s="164"/>
    </row>
  </sheetData>
  <mergeCells count="12">
    <mergeCell ref="B1:D1"/>
    <mergeCell ref="A4:D4"/>
    <mergeCell ref="E38:G38"/>
    <mergeCell ref="B49:D49"/>
    <mergeCell ref="E49:G49"/>
    <mergeCell ref="H49:J49"/>
    <mergeCell ref="A7:B7"/>
    <mergeCell ref="A14:B14"/>
    <mergeCell ref="A43:A44"/>
    <mergeCell ref="A45:A46"/>
    <mergeCell ref="A23:B23"/>
    <mergeCell ref="B38:D3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Lisez-moi !</vt:lpstr>
      <vt:lpstr>Données brutes bâtiments</vt:lpstr>
      <vt:lpstr>Utilisation des bâtiments</vt:lpstr>
      <vt:lpstr>Alimentation</vt:lpstr>
      <vt:lpstr>Domicile-travail</vt:lpstr>
      <vt:lpstr>Estimation flotte collectivités</vt:lpstr>
      <vt:lpstr>Emissions fabrication véhicules</vt:lpstr>
      <vt:lpstr>Emissions parc automobile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2021-11-05T14:54:13Z</dcterms:modified>
</cp:coreProperties>
</file>